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 codeName="{3D1A710C-6663-3D7B-7F91-EC182F24A4BC}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sgonzales\Desktop\"/>
    </mc:Choice>
  </mc:AlternateContent>
  <xr:revisionPtr revIDLastSave="0" documentId="8_{78276DAE-0418-4C7E-A2BD-378998DCFBFD}" xr6:coauthVersionLast="36" xr6:coauthVersionMax="36" xr10:uidLastSave="{00000000-0000-0000-0000-000000000000}"/>
  <bookViews>
    <workbookView xWindow="0" yWindow="0" windowWidth="30810" windowHeight="17540" tabRatio="553" activeTab="1" xr2:uid="{00000000-000D-0000-FFFF-FFFF00000000}"/>
  </bookViews>
  <sheets>
    <sheet name="Message" sheetId="6" r:id="rId1"/>
    <sheet name="Salary Detail" sheetId="1" r:id="rId2"/>
    <sheet name="UH Employees" sheetId="13" r:id="rId3"/>
    <sheet name="Subcontracts" sheetId="20" r:id="rId4"/>
    <sheet name="Budget Summary" sheetId="4" r:id="rId5"/>
    <sheet name="Salary Allocation" sheetId="19" r:id="rId6"/>
    <sheet name="Personnel Summary" sheetId="14" r:id="rId7"/>
  </sheets>
  <functionGroups builtInGroupCount="19"/>
  <externalReferences>
    <externalReference r:id="rId8"/>
    <externalReference r:id="rId9"/>
    <externalReference r:id="rId10"/>
  </externalReferences>
  <definedNames>
    <definedName name="\T" localSheetId="6">'Personnel Summary'!$A$347:$A$347</definedName>
    <definedName name="\T" localSheetId="3">#REF!</definedName>
    <definedName name="\T">#REF!</definedName>
    <definedName name="A_EIGHTSUM" localSheetId="3">Subcontracts!$V$15</definedName>
    <definedName name="A_FIVESUM" localSheetId="3">Subcontracts!$S$15</definedName>
    <definedName name="A_FOURSUM" localSheetId="3">Subcontracts!$R$15</definedName>
    <definedName name="A_NINESUM" localSheetId="3">Subcontracts!$W$15</definedName>
    <definedName name="A_SEVENSUM" localSheetId="3">Subcontracts!$U$15</definedName>
    <definedName name="A_SIXSIM" localSheetId="3">Subcontracts!$T$15</definedName>
    <definedName name="A_SIXSUM" localSheetId="3">Subcontracts!$T$15</definedName>
    <definedName name="A_TENSUM" localSheetId="3">Subcontracts!$X$15</definedName>
    <definedName name="A_THREESUM" localSheetId="3">Subcontracts!$Q$15</definedName>
    <definedName name="A_TWOSUM" localSheetId="3">Subcontracts!$P$15</definedName>
    <definedName name="B_EIGHTSUM" localSheetId="3">Subcontracts!$V$18</definedName>
    <definedName name="B_FIVESUM" localSheetId="3">Subcontracts!$S$18</definedName>
    <definedName name="B_FOURSUM" localSheetId="3">Subcontracts!$R$18</definedName>
    <definedName name="B_NINESUM" localSheetId="3">Subcontracts!$W$18</definedName>
    <definedName name="B_SEVENSUM" localSheetId="3">Subcontracts!$U$18</definedName>
    <definedName name="B_SIXSUM" localSheetId="3">Subcontracts!$T$18</definedName>
    <definedName name="B_TENSUM" localSheetId="3">Subcontracts!$X$18</definedName>
    <definedName name="B_TENSUM">#REF!</definedName>
    <definedName name="B_THREESUM" localSheetId="3">Subcontracts!$Q$18</definedName>
    <definedName name="B_THREESUM">#REF!</definedName>
    <definedName name="B_TWOSUM" localSheetId="3">Subcontracts!$P$18</definedName>
    <definedName name="B_TWOSUM">#REF!</definedName>
    <definedName name="BUDGET">'Budget Summary'!$A$1:$H$67</definedName>
    <definedName name="C_EIGHTSUM" localSheetId="3">Subcontracts!$V$21</definedName>
    <definedName name="C_EIGHTSUM">#REF!</definedName>
    <definedName name="C_FIVESUM" localSheetId="3">Subcontracts!$S$21</definedName>
    <definedName name="C_FIVESUM">#REF!</definedName>
    <definedName name="C_FOURSUM" localSheetId="3">Subcontracts!$R$21</definedName>
    <definedName name="C_FOURSUM">#REF!</definedName>
    <definedName name="C_NINESUM" localSheetId="3">Subcontracts!$W$21</definedName>
    <definedName name="C_NINESUM">#REF!</definedName>
    <definedName name="C_SEVENSUM" localSheetId="3">Subcontracts!$U$21</definedName>
    <definedName name="C_SEVENSUM">#REF!</definedName>
    <definedName name="C_SIXSUM" localSheetId="3">Subcontracts!$T$21</definedName>
    <definedName name="C_SIXSUM">#REF!</definedName>
    <definedName name="C_TENSUM" localSheetId="3">Subcontracts!$X$21</definedName>
    <definedName name="C_TENSUM">#REF!</definedName>
    <definedName name="C_THREESUM" localSheetId="3">Subcontracts!$Q$21</definedName>
    <definedName name="C_THREESUM">#REF!</definedName>
    <definedName name="C_TWOSUM" localSheetId="3">Subcontracts!$P$21</definedName>
    <definedName name="C_TWOSUM">#REF!</definedName>
    <definedName name="CFYE_ED" localSheetId="3">'[1]Salary Detail'!$AE$2</definedName>
    <definedName name="CFYE_ED">'Salary Detail'!$AE$2</definedName>
    <definedName name="CFYE_EDPCNT" localSheetId="3">'[1]Salary Detail'!$AE$3</definedName>
    <definedName name="CFYE_EDPCNT">'Salary Detail'!$AE$3</definedName>
    <definedName name="CURRENTFYE" localSheetId="3">'[1]Salary Detail'!$E$10:$E$10</definedName>
    <definedName name="CURRENTFYE">'Salary Detail'!$E$10:$E$10</definedName>
    <definedName name="D_EIGHTSUM" localSheetId="3">Subcontracts!$V$24</definedName>
    <definedName name="D_EIGHTSUM">#REF!</definedName>
    <definedName name="D_FIVESUM" localSheetId="3">Subcontracts!$S$24</definedName>
    <definedName name="D_FIVESUM">#REF!</definedName>
    <definedName name="D_FOURSUM" localSheetId="3">Subcontracts!$R$24</definedName>
    <definedName name="D_FOURSUM">#REF!</definedName>
    <definedName name="D_NINESUM" localSheetId="3">Subcontracts!$W$24</definedName>
    <definedName name="D_NINESUM">#REF!</definedName>
    <definedName name="D_SEVENSUM" localSheetId="3">Subcontracts!$U$24</definedName>
    <definedName name="D_SEVENSUM">#REF!</definedName>
    <definedName name="D_SIXSUM" localSheetId="3">Subcontracts!$T$24</definedName>
    <definedName name="D_SIXSUM">#REF!</definedName>
    <definedName name="D_TENSUM" localSheetId="3">Subcontracts!$X$24</definedName>
    <definedName name="D_TENSUM">#REF!</definedName>
    <definedName name="D_THREESUM" localSheetId="3">Subcontracts!$Q$24</definedName>
    <definedName name="D_THREESUM">#REF!</definedName>
    <definedName name="D_TWOSUM" localSheetId="3">Subcontracts!$P$24</definedName>
    <definedName name="D_TWOSUM">#REF!</definedName>
    <definedName name="DETAIL">'Salary Detail'!$A$1:$O$180</definedName>
    <definedName name="DETAIL1">'Salary Detail'!$A$1:$O$66</definedName>
    <definedName name="DETAIL2">'Salary Detail'!$A$68:$O$180</definedName>
    <definedName name="E_EIGHTSUM" localSheetId="3">Subcontracts!$V$27</definedName>
    <definedName name="E_EIGHTSUM">#REF!</definedName>
    <definedName name="E_FIVESUM" localSheetId="3">Subcontracts!$S$27</definedName>
    <definedName name="E_FIVESUM">#REF!</definedName>
    <definedName name="E_FOURSUM" localSheetId="3">Subcontracts!$R$27</definedName>
    <definedName name="E_FOURSUM">#REF!</definedName>
    <definedName name="E_NINESUM" localSheetId="3">Subcontracts!$W$27</definedName>
    <definedName name="E_NINESUM">#REF!</definedName>
    <definedName name="E_SEVENSUM" localSheetId="3">Subcontracts!$U$27</definedName>
    <definedName name="E_SEVENSUM">#REF!</definedName>
    <definedName name="E_SIXSUM" localSheetId="3">Subcontracts!$T$27</definedName>
    <definedName name="E_SIXSUM">#REF!</definedName>
    <definedName name="E_TENSUM" localSheetId="3">Subcontracts!$X$27</definedName>
    <definedName name="E_TENSUM">#REF!</definedName>
    <definedName name="E_THREESUM" localSheetId="3">Subcontracts!$Q$27</definedName>
    <definedName name="E_THREESUM">#REF!</definedName>
    <definedName name="E_TWOSUM" localSheetId="3">Subcontracts!$P$27</definedName>
    <definedName name="E_TWOSUM">#REF!</definedName>
    <definedName name="EIGHTSUM">'Budget Summary'!$AE$30</definedName>
    <definedName name="ENDDATE" localSheetId="3">'[1]Salary Detail'!$E$12:$E$12</definedName>
    <definedName name="ENDDATE">'Salary Detail'!$E$12:$E$12</definedName>
    <definedName name="ENDDAYS" localSheetId="3">'[1]Salary Detail'!$L$12:$L$12</definedName>
    <definedName name="ENDDAYS">'Salary Detail'!$L$12:$L$12</definedName>
    <definedName name="F_EIGHTSUM" localSheetId="3">Subcontracts!$V$30</definedName>
    <definedName name="F_EIGHTSUM">#REF!</definedName>
    <definedName name="F_FIVESUM" localSheetId="3">Subcontracts!$S$30</definedName>
    <definedName name="F_FIVESUM">#REF!</definedName>
    <definedName name="F_FOURSUM" localSheetId="3">Subcontracts!$R$30</definedName>
    <definedName name="F_FOURSUM">#REF!</definedName>
    <definedName name="F_NINESUM" localSheetId="3">Subcontracts!$W$30</definedName>
    <definedName name="F_NINESUM">#REF!</definedName>
    <definedName name="F_SEVENSUM" localSheetId="3">Subcontracts!$U$30</definedName>
    <definedName name="F_SEVENSUM">#REF!</definedName>
    <definedName name="F_SIXSUM" localSheetId="3">Subcontracts!$T$30</definedName>
    <definedName name="F_SIXSUM">#REF!</definedName>
    <definedName name="F_TENSUM" localSheetId="3">Subcontracts!$X$30</definedName>
    <definedName name="F_TENSUM">#REF!</definedName>
    <definedName name="F_THREESUM" localSheetId="3">Subcontracts!$Q$30</definedName>
    <definedName name="F_THREESUM">#REF!</definedName>
    <definedName name="F_TWOSUM" localSheetId="3">Subcontracts!$P$30</definedName>
    <definedName name="F_TWOSUM">#REF!</definedName>
    <definedName name="FACTOR" localSheetId="3">'[1]Salary Detail'!$L$17:$L$17</definedName>
    <definedName name="FACTOR">'Salary Detail'!$L$17:$L$17</definedName>
    <definedName name="FIVESUM">'Budget Summary'!$AB$30</definedName>
    <definedName name="FOURSUM">'Budget Summary'!$AA$30</definedName>
    <definedName name="FringeIncrease" localSheetId="3">'[1]Salary Detail'!$G$367</definedName>
    <definedName name="FringeIncrease">'Salary Detail'!$G$367</definedName>
    <definedName name="fringes" localSheetId="6">'[2]Salary Detail'!$A$353:$C$361</definedName>
    <definedName name="fringes" localSheetId="3">'[1]Salary Detail'!$A$353:$C$363</definedName>
    <definedName name="fringes">'Salary Detail'!$A$353:$C$363</definedName>
    <definedName name="FringeTable" localSheetId="3">'[1]Salary Detail'!$G$353:$AI$363</definedName>
    <definedName name="FringeTable">'Salary Detail'!$G$353:$AI$363</definedName>
    <definedName name="G_EIGHTSUM" localSheetId="3">Subcontracts!$V$33</definedName>
    <definedName name="G_EIGHTSUM">#REF!</definedName>
    <definedName name="G_FIVESUM" localSheetId="3">Subcontracts!$S$33</definedName>
    <definedName name="G_FIVESUM">#REF!</definedName>
    <definedName name="G_FOURSUM" localSheetId="3">Subcontracts!$R$33</definedName>
    <definedName name="G_FOURSUM">#REF!</definedName>
    <definedName name="G_NINESUM" localSheetId="3">Subcontracts!$W$33</definedName>
    <definedName name="G_NINESUM">#REF!</definedName>
    <definedName name="G_SEVENSUM" localSheetId="3">Subcontracts!$U$33</definedName>
    <definedName name="G_SEVENSUM">#REF!</definedName>
    <definedName name="G_SIXSUM" localSheetId="3">Subcontracts!$T$33</definedName>
    <definedName name="G_SIXSUM">#REF!</definedName>
    <definedName name="G_TENSUM" localSheetId="3">Subcontracts!$X$33</definedName>
    <definedName name="G_TENSUM">#REF!</definedName>
    <definedName name="G_THREESUM" localSheetId="3">Subcontracts!$Q$33</definedName>
    <definedName name="G_THREESUM">#REF!</definedName>
    <definedName name="G_TWOSUM" localSheetId="3">Subcontracts!$P$33</definedName>
    <definedName name="G_TWOSUM">#REF!</definedName>
    <definedName name="H_EIGHTSUM" localSheetId="3">Subcontracts!$V$36</definedName>
    <definedName name="H_EIGHTSUM">#REF!</definedName>
    <definedName name="H_FIVESUM" localSheetId="3">Subcontracts!$S$36</definedName>
    <definedName name="H_FIVESUM">#REF!</definedName>
    <definedName name="H_FOURSUM" localSheetId="3">Subcontracts!$R$36</definedName>
    <definedName name="H_FOURSUM">#REF!</definedName>
    <definedName name="H_NINESUM" localSheetId="3">Subcontracts!$W$36</definedName>
    <definedName name="H_NINESUM">#REF!</definedName>
    <definedName name="H_SEVENSUM" localSheetId="3">Subcontracts!$U$36</definedName>
    <definedName name="H_SEVENSUM">#REF!</definedName>
    <definedName name="H_SIXSUM" localSheetId="3">Subcontracts!$T$36</definedName>
    <definedName name="H_SIXSUM">#REF!</definedName>
    <definedName name="H_TENSUM" localSheetId="3">Subcontracts!$X$36</definedName>
    <definedName name="H_TENSUM">#REF!</definedName>
    <definedName name="H_THREESUM" localSheetId="3">Subcontracts!$Q$36</definedName>
    <definedName name="H_THREESUM">#REF!</definedName>
    <definedName name="H_TWOSUM" localSheetId="3">Subcontracts!$P$36</definedName>
    <definedName name="H_TWOSUM">#REF!</definedName>
    <definedName name="I_EIGHTSUM" localSheetId="3">Subcontracts!$V$39</definedName>
    <definedName name="I_EIGHTSUM">#REF!</definedName>
    <definedName name="I_FIVESUM" localSheetId="3">Subcontracts!$S$39</definedName>
    <definedName name="I_FIVESUM">#REF!</definedName>
    <definedName name="I_FOURSUM" localSheetId="3">Subcontracts!$R$39</definedName>
    <definedName name="I_FOURSUM">#REF!</definedName>
    <definedName name="I_NINESUM" localSheetId="3">Subcontracts!$W$39</definedName>
    <definedName name="I_NINESUM">#REF!</definedName>
    <definedName name="I_SEVENSUM" localSheetId="3">Subcontracts!$U$39</definedName>
    <definedName name="I_SEVENSUM">#REF!</definedName>
    <definedName name="I_SIXSUM" localSheetId="3">Subcontracts!$T$39</definedName>
    <definedName name="I_SIXSUM">#REF!</definedName>
    <definedName name="I_TENSUM" localSheetId="3">Subcontracts!$X$39</definedName>
    <definedName name="I_TENSUM">#REF!</definedName>
    <definedName name="I_THREESUM" localSheetId="3">Subcontracts!$Q$39</definedName>
    <definedName name="I_THREESUM">#REF!</definedName>
    <definedName name="I_TWOSUM" localSheetId="3">Subcontracts!$P$39</definedName>
    <definedName name="I_TWOSUM">#REF!</definedName>
    <definedName name="IDCPCNT" localSheetId="3">'[1]Budget Summary'!$M$49</definedName>
    <definedName name="IDCPCNT">'Budget Summary'!$M$49</definedName>
    <definedName name="INCREASE" localSheetId="3">'[1]Salary Detail'!$L$16:$L$16</definedName>
    <definedName name="INCREASE">'Salary Detail'!$L$16:$L$16</definedName>
    <definedName name="inflationpcnt" localSheetId="3">'[1]Budget Summary'!$M$16</definedName>
    <definedName name="inflationpcnt">'Budget Summary'!$M$16</definedName>
    <definedName name="instructions" localSheetId="3">#REF!</definedName>
    <definedName name="instructions">#REF!</definedName>
    <definedName name="J_EIGHTSUM" localSheetId="3">Subcontracts!$V$42</definedName>
    <definedName name="J_EIGHTSUM">#REF!</definedName>
    <definedName name="J_FIVESUM" localSheetId="3">Subcontracts!$S$42</definedName>
    <definedName name="J_FIVESUM">#REF!</definedName>
    <definedName name="J_FOURSUM" localSheetId="3">Subcontracts!$R$42</definedName>
    <definedName name="J_FOURSUM">#REF!</definedName>
    <definedName name="J_NINESUM" localSheetId="3">Subcontracts!$W$42</definedName>
    <definedName name="J_NINESUM">#REF!</definedName>
    <definedName name="J_SEVENSUM" localSheetId="3">Subcontracts!$U$42</definedName>
    <definedName name="J_SEVENSUM">#REF!</definedName>
    <definedName name="J_SIXSUM" localSheetId="3">Subcontracts!$T$42</definedName>
    <definedName name="J_SIXSUM">#REF!</definedName>
    <definedName name="J_TENSUM" localSheetId="3">Subcontracts!$X$42</definedName>
    <definedName name="J_TENSUM">#REF!</definedName>
    <definedName name="J_THREESUM" localSheetId="3">Subcontracts!$Q$42</definedName>
    <definedName name="J_THREESUM">#REF!</definedName>
    <definedName name="J_TWOSUM" localSheetId="3">Subcontracts!$P$42</definedName>
    <definedName name="J_TWOSUM">#REF!</definedName>
    <definedName name="K_EIGHTSUM" localSheetId="3">Subcontracts!$V$45</definedName>
    <definedName name="K_EIGHTSUM">#REF!</definedName>
    <definedName name="K_FIVESUM" localSheetId="3">Subcontracts!$S$45</definedName>
    <definedName name="K_FIVESUM">#REF!</definedName>
    <definedName name="K_FOURSUM" localSheetId="3">Subcontracts!$R$45</definedName>
    <definedName name="K_FOURSUM">#REF!</definedName>
    <definedName name="K_NINESUM" localSheetId="3">Subcontracts!$W$45</definedName>
    <definedName name="K_NINESUM">#REF!</definedName>
    <definedName name="K_SEVENSUM" localSheetId="3">Subcontracts!$U$45</definedName>
    <definedName name="K_SEVENSUM">#REF!</definedName>
    <definedName name="K_SIXSUM" localSheetId="3">Subcontracts!$T$45</definedName>
    <definedName name="K_SIXSUM">#REF!</definedName>
    <definedName name="K_TENSUM" localSheetId="3">Subcontracts!$X$45</definedName>
    <definedName name="K_TENSUM">#REF!</definedName>
    <definedName name="K_THREESUM" localSheetId="3">Subcontracts!$Q$45</definedName>
    <definedName name="K_THREESUM">#REF!</definedName>
    <definedName name="K_TWOSUM" localSheetId="3">Subcontracts!$P$45</definedName>
    <definedName name="K_TWOSUM">#REF!</definedName>
    <definedName name="L_EIGHTSUM" localSheetId="3">Subcontracts!$V$48</definedName>
    <definedName name="L_EIGHTSUM">#REF!</definedName>
    <definedName name="L_FIVESUM" localSheetId="3">Subcontracts!$S$48</definedName>
    <definedName name="L_FIVESUM">#REF!</definedName>
    <definedName name="L_FOURSUM" localSheetId="3">Subcontracts!$R$48</definedName>
    <definedName name="L_FOURSUM">#REF!</definedName>
    <definedName name="L_NINESUM" localSheetId="3">Subcontracts!$W$48</definedName>
    <definedName name="L_NINESUM">#REF!</definedName>
    <definedName name="L_SEVENSUM" localSheetId="3">Subcontracts!$U$48</definedName>
    <definedName name="L_SEVENSUM">#REF!</definedName>
    <definedName name="L_SIXSUM" localSheetId="3">Subcontracts!$T$48</definedName>
    <definedName name="L_SIXSUM">#REF!</definedName>
    <definedName name="L_TENSUM" localSheetId="3">Subcontracts!$X$48</definedName>
    <definedName name="L_TENSUM">#REF!</definedName>
    <definedName name="L_THREESUM" localSheetId="3">Subcontracts!$Q$48</definedName>
    <definedName name="L_THREESUM">#REF!</definedName>
    <definedName name="L_TWOSUM" localSheetId="3">Subcontracts!$P$48</definedName>
    <definedName name="L_TWOSUM">#REF!</definedName>
    <definedName name="M_EIGHTSUM" localSheetId="3">Subcontracts!$V$51</definedName>
    <definedName name="M_EIGHTSUM">#REF!</definedName>
    <definedName name="M_FIVESUM" localSheetId="3">Subcontracts!$S$51</definedName>
    <definedName name="M_FIVESUM">#REF!</definedName>
    <definedName name="M_FOURSUM" localSheetId="3">Subcontracts!$R$51</definedName>
    <definedName name="M_FOURSUM">#REF!</definedName>
    <definedName name="M_NINESUM" localSheetId="3">Subcontracts!$W$51</definedName>
    <definedName name="M_NINESUM">#REF!</definedName>
    <definedName name="M_SEVENSUM" localSheetId="3">Subcontracts!$U$51</definedName>
    <definedName name="M_SEVENSUM">#REF!</definedName>
    <definedName name="M_SIXSUM" localSheetId="3">Subcontracts!$T$51</definedName>
    <definedName name="M_SIXSUM">#REF!</definedName>
    <definedName name="M_TENSUM" localSheetId="3">Subcontracts!$X$51</definedName>
    <definedName name="M_TENSUM">#REF!</definedName>
    <definedName name="M_THREESUM" localSheetId="3">Subcontracts!$Q$51</definedName>
    <definedName name="M_THREESUM">#REF!</definedName>
    <definedName name="M_TWOSUM" localSheetId="3">Subcontracts!$P$51</definedName>
    <definedName name="M_TWOSUM">#REF!</definedName>
    <definedName name="MAXBASESAL1">'Salary Detail'!$G$24</definedName>
    <definedName name="MAXSAL" localSheetId="3">'[1]Salary Detail'!$L$18:$L$18</definedName>
    <definedName name="MAXSAL">'Salary Detail'!$L$18:$L$18</definedName>
    <definedName name="N_EIGHTSUM" localSheetId="3">Subcontracts!$V$54</definedName>
    <definedName name="N_EIGHTSUM">#REF!</definedName>
    <definedName name="N_FIVESUM" localSheetId="3">Subcontracts!$S$54</definedName>
    <definedName name="N_FIVESUM">#REF!</definedName>
    <definedName name="N_FOURSUM" localSheetId="3">Subcontracts!$R$54</definedName>
    <definedName name="N_FOURSUM">#REF!</definedName>
    <definedName name="N_NINESUM" localSheetId="3">Subcontracts!$W$54</definedName>
    <definedName name="N_NINESUM">#REF!</definedName>
    <definedName name="N_SEVENSUM" localSheetId="3">Subcontracts!$U$54</definedName>
    <definedName name="N_SEVENSUM">#REF!</definedName>
    <definedName name="N_SIXSUM" localSheetId="3">Subcontracts!$T$54</definedName>
    <definedName name="N_SIXSUM">#REF!</definedName>
    <definedName name="N_TENSUM" localSheetId="3">Subcontracts!$X$54</definedName>
    <definedName name="N_TENSUM">#REF!</definedName>
    <definedName name="N_THREESUM" localSheetId="3">Subcontracts!$Q$54</definedName>
    <definedName name="N_THREESUM">#REF!</definedName>
    <definedName name="N_TWOSUM" localSheetId="3">Subcontracts!$P$54</definedName>
    <definedName name="N_TWOSUM">#REF!</definedName>
    <definedName name="NINESUM">'Budget Summary'!$AF$30</definedName>
    <definedName name="NUMMONTHS" localSheetId="3">'[1]Salary Detail'!$L$10</definedName>
    <definedName name="NUMMONTHS">'Salary Detail'!$L$10</definedName>
    <definedName name="O_EIGHTSUM" localSheetId="3">Subcontracts!$V$57</definedName>
    <definedName name="O_EIGHTSUM">#REF!</definedName>
    <definedName name="O_FIVESUM" localSheetId="3">Subcontracts!$S$57</definedName>
    <definedName name="O_FIVESUM">#REF!</definedName>
    <definedName name="O_FOURSUM" localSheetId="3">Subcontracts!$R$57</definedName>
    <definedName name="O_FOURSUM">#REF!</definedName>
    <definedName name="O_NINESUM" localSheetId="3">Subcontracts!$W$57</definedName>
    <definedName name="O_NINESUM">#REF!</definedName>
    <definedName name="O_SEVENSUM" localSheetId="3">Subcontracts!$U$57</definedName>
    <definedName name="O_SEVENSUM">#REF!</definedName>
    <definedName name="O_SIXSUM" localSheetId="3">Subcontracts!$T$57</definedName>
    <definedName name="O_SIXSUM">#REF!</definedName>
    <definedName name="O_TENSUM" localSheetId="3">Subcontracts!$X$57</definedName>
    <definedName name="O_TENSUM">#REF!</definedName>
    <definedName name="O_THREESUM" localSheetId="3">Subcontracts!$Q$57</definedName>
    <definedName name="O_THREESUM">#REF!</definedName>
    <definedName name="O_TWOSUM" localSheetId="3">Subcontracts!$P$57</definedName>
    <definedName name="O_TWOSUM">#REF!</definedName>
    <definedName name="PERIOD1" localSheetId="3">'[1]Salary Detail'!$AE$5</definedName>
    <definedName name="PERIOD1">'Salary Detail'!$AE$5</definedName>
    <definedName name="PRINT">'Salary Detail'!$A$369:$A$369</definedName>
    <definedName name="_xlnm.Print_Area" localSheetId="4">'Budget Summary'!$A$1:$M$66</definedName>
    <definedName name="_xlnm.Print_Area" localSheetId="0">Message!$A$1:$J$60</definedName>
    <definedName name="_xlnm.Print_Area" localSheetId="6">'Personnel Summary'!$A$1:$M$334</definedName>
    <definedName name="_xlnm.Print_Area" localSheetId="5">'Salary Allocation'!$A$1:$K$55</definedName>
    <definedName name="_xlnm.Print_Area" localSheetId="1">'Salary Detail'!$A$1:$T$340</definedName>
    <definedName name="_xlnm.Print_Area" localSheetId="3">Subcontracts!$A$1:$N$63</definedName>
    <definedName name="_xlnm.Print_Area" localSheetId="2">'UH Employees'!$A$1:$O$415</definedName>
    <definedName name="ProjectType" localSheetId="3">'[1]Salary Detail'!$C$345</definedName>
    <definedName name="ProjectType">'Salary Detail'!$C$345</definedName>
    <definedName name="RATE" localSheetId="6">'[2]Salary Detail'!#REF!</definedName>
    <definedName name="RATE" localSheetId="3">'[1]Salary Detail'!#REF!</definedName>
    <definedName name="RATE">'Salary Detail'!#REF!</definedName>
    <definedName name="SALCAPAPPLIES" localSheetId="3">'[1]Salary Detail'!$F$18</definedName>
    <definedName name="SALCAPAPPLIES">'Salary Detail'!$F$18</definedName>
    <definedName name="SEVENSUM">'Budget Summary'!$AD$30</definedName>
    <definedName name="SIXSUM">'Budget Summary'!$AC$30</definedName>
    <definedName name="STARTDATE" localSheetId="3">'[1]Salary Detail'!$E$11:$E$11</definedName>
    <definedName name="STARTDATE">'Salary Detail'!$E$11:$E$11</definedName>
    <definedName name="subcontracts" localSheetId="3">Subcontracts!$A$1:$I$83</definedName>
    <definedName name="subcontracts">#REF!</definedName>
    <definedName name="SUBLIMIT" localSheetId="3">Subcontracts!$E$9</definedName>
    <definedName name="SUBLIMIT">#REF!</definedName>
    <definedName name="SUMMARY" localSheetId="6">'Personnel Summary'!$A$3:$M$336</definedName>
    <definedName name="SUMMARY" localSheetId="3">#REF!</definedName>
    <definedName name="SUMMARY">#REF!</definedName>
    <definedName name="TENSUM">'Budget Summary'!$AG$30</definedName>
    <definedName name="THREESUM">'Budget Summary'!$Z$30</definedName>
    <definedName name="totalyrs" localSheetId="3">'[1]Salary Detail'!$O$367</definedName>
    <definedName name="totalyrs">'Salary Detail'!$O$367</definedName>
    <definedName name="TWOSUM">'Budget Summary'!$Y$30</definedName>
    <definedName name="TYPES" localSheetId="6">'Personnel Summary'!$A$3:$M$336</definedName>
    <definedName name="TYPES" localSheetId="3">#REF!</definedName>
    <definedName name="TYPES">#REF!</definedName>
    <definedName name="Year1Weight" localSheetId="3">'[1]Salary Detail'!$G$346</definedName>
    <definedName name="Year1Weight">'Salary Detail'!$G$346</definedName>
    <definedName name="Year2Weight" localSheetId="3">'[1]Salary Detail'!$G$347</definedName>
    <definedName name="Year2Weight">'Salary Detail'!$G$347</definedName>
    <definedName name="Year3Weight" localSheetId="3">'[1]Salary Detail'!$G$348</definedName>
    <definedName name="Year3Weight">'Salary Detail'!$G$348</definedName>
    <definedName name="yr10percent" localSheetId="3">'[1]Salary Detail'!$R$290</definedName>
    <definedName name="yr10percent">'Salary Detail'!$R$290</definedName>
    <definedName name="yr1percent" localSheetId="3">'[1]Salary Detail'!$AI$24</definedName>
    <definedName name="yr1percent">'Salary Detail'!$AI$24</definedName>
    <definedName name="yr2percent" localSheetId="3">'[1]Salary Detail'!$R$72</definedName>
    <definedName name="yr2percent">'Salary Detail'!$R$72</definedName>
    <definedName name="yr3percent" localSheetId="3">'[1]Salary Detail'!$R$73</definedName>
    <definedName name="yr3percent">'Salary Detail'!$R$73</definedName>
    <definedName name="yr4percent" localSheetId="3">'[1]Salary Detail'!$R$126</definedName>
    <definedName name="yr4percent">'Salary Detail'!$R$126</definedName>
    <definedName name="yr5percent" localSheetId="3">'[1]Salary Detail'!$R$127</definedName>
    <definedName name="yr5percent">'Salary Detail'!$R$127</definedName>
    <definedName name="yr6percent" localSheetId="3">'[1]Salary Detail'!$R$182</definedName>
    <definedName name="yr6percent">'Salary Detail'!$R$182</definedName>
    <definedName name="yr7percent" localSheetId="3">'[1]Salary Detail'!$R$183</definedName>
    <definedName name="yr7percent">'Salary Detail'!$R$183</definedName>
    <definedName name="yr8percent" localSheetId="3">'[1]Salary Detail'!$R$236</definedName>
    <definedName name="yr8percent">'Salary Detail'!$R$236</definedName>
    <definedName name="yr9percent" localSheetId="3">'[1]Salary Detail'!$R$237</definedName>
    <definedName name="yr9percent">'Salary Detail'!$R$237</definedName>
  </definedNames>
  <calcPr calcId="191029"/>
</workbook>
</file>

<file path=xl/calcChain.xml><?xml version="1.0" encoding="utf-8"?>
<calcChain xmlns="http://schemas.openxmlformats.org/spreadsheetml/2006/main">
  <c r="C20" i="1" l="1"/>
  <c r="K84" i="13" l="1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24" i="13"/>
  <c r="K23" i="13"/>
  <c r="D23" i="20" l="1"/>
  <c r="I432" i="13" l="1"/>
  <c r="L363" i="1"/>
  <c r="T363" i="1" s="1"/>
  <c r="K363" i="1"/>
  <c r="J363" i="1"/>
  <c r="I363" i="1"/>
  <c r="T362" i="1"/>
  <c r="S362" i="1"/>
  <c r="R362" i="1"/>
  <c r="Q362" i="1"/>
  <c r="P362" i="1"/>
  <c r="O362" i="1"/>
  <c r="N362" i="1"/>
  <c r="M362" i="1"/>
  <c r="Q361" i="1"/>
  <c r="L361" i="1"/>
  <c r="T361" i="1" s="1"/>
  <c r="K361" i="1"/>
  <c r="J361" i="1"/>
  <c r="I361" i="1"/>
  <c r="T360" i="1"/>
  <c r="S360" i="1"/>
  <c r="R360" i="1"/>
  <c r="Q360" i="1"/>
  <c r="P360" i="1"/>
  <c r="O360" i="1"/>
  <c r="N360" i="1"/>
  <c r="M360" i="1"/>
  <c r="T359" i="1"/>
  <c r="S359" i="1"/>
  <c r="R359" i="1"/>
  <c r="Q359" i="1"/>
  <c r="P359" i="1"/>
  <c r="O359" i="1"/>
  <c r="N359" i="1"/>
  <c r="M359" i="1"/>
  <c r="T357" i="1"/>
  <c r="S357" i="1"/>
  <c r="R357" i="1"/>
  <c r="Q357" i="1"/>
  <c r="P357" i="1"/>
  <c r="O357" i="1"/>
  <c r="N357" i="1"/>
  <c r="M357" i="1"/>
  <c r="T356" i="1"/>
  <c r="S356" i="1"/>
  <c r="R356" i="1"/>
  <c r="Q356" i="1"/>
  <c r="P356" i="1"/>
  <c r="O356" i="1"/>
  <c r="N356" i="1"/>
  <c r="M356" i="1"/>
  <c r="T355" i="1"/>
  <c r="S355" i="1"/>
  <c r="R355" i="1"/>
  <c r="Q355" i="1"/>
  <c r="P355" i="1"/>
  <c r="O355" i="1"/>
  <c r="N355" i="1"/>
  <c r="M355" i="1"/>
  <c r="T354" i="1"/>
  <c r="S354" i="1"/>
  <c r="R354" i="1"/>
  <c r="Q354" i="1"/>
  <c r="P354" i="1"/>
  <c r="O354" i="1"/>
  <c r="N354" i="1"/>
  <c r="M354" i="1"/>
  <c r="AA4" i="1"/>
  <c r="Z4" i="1"/>
  <c r="Y4" i="1"/>
  <c r="X4" i="1"/>
  <c r="W4" i="1"/>
  <c r="M363" i="1" l="1"/>
  <c r="Q363" i="1"/>
  <c r="M361" i="1"/>
  <c r="N361" i="1"/>
  <c r="R361" i="1"/>
  <c r="N363" i="1"/>
  <c r="R363" i="1"/>
  <c r="O361" i="1"/>
  <c r="S361" i="1"/>
  <c r="O363" i="1"/>
  <c r="S363" i="1"/>
  <c r="P361" i="1"/>
  <c r="P363" i="1"/>
  <c r="F19" i="1"/>
  <c r="D62" i="20" l="1"/>
  <c r="O18" i="20"/>
  <c r="N15" i="20" l="1"/>
  <c r="A2" i="20"/>
  <c r="E4" i="20"/>
  <c r="E5" i="20"/>
  <c r="E6" i="20"/>
  <c r="E7" i="20"/>
  <c r="E8" i="20"/>
  <c r="E9" i="20"/>
  <c r="O15" i="20"/>
  <c r="P15" i="20" s="1"/>
  <c r="N16" i="20"/>
  <c r="N18" i="20"/>
  <c r="P18" i="20"/>
  <c r="Q18" i="20" s="1"/>
  <c r="N19" i="20"/>
  <c r="C20" i="20"/>
  <c r="C23" i="20" s="1"/>
  <c r="C26" i="20" s="1"/>
  <c r="C29" i="20" s="1"/>
  <c r="C32" i="20" s="1"/>
  <c r="C35" i="20" s="1"/>
  <c r="N21" i="20"/>
  <c r="O21" i="20"/>
  <c r="P21" i="20" s="1"/>
  <c r="Q21" i="20" s="1"/>
  <c r="R21" i="20" s="1"/>
  <c r="S21" i="20" s="1"/>
  <c r="T21" i="20" s="1"/>
  <c r="U21" i="20" s="1"/>
  <c r="N22" i="20"/>
  <c r="N24" i="20"/>
  <c r="O24" i="20"/>
  <c r="P24" i="20" s="1"/>
  <c r="Q24" i="20" s="1"/>
  <c r="R24" i="20" s="1"/>
  <c r="S24" i="20" s="1"/>
  <c r="T24" i="20" s="1"/>
  <c r="U24" i="20" s="1"/>
  <c r="N25" i="20"/>
  <c r="N27" i="20"/>
  <c r="O27" i="20"/>
  <c r="P27" i="20" s="1"/>
  <c r="Q27" i="20" s="1"/>
  <c r="R27" i="20" s="1"/>
  <c r="S27" i="20" s="1"/>
  <c r="T27" i="20" s="1"/>
  <c r="U27" i="20" s="1"/>
  <c r="N28" i="20"/>
  <c r="N30" i="20"/>
  <c r="O30" i="20"/>
  <c r="P30" i="20" s="1"/>
  <c r="Q30" i="20" s="1"/>
  <c r="R30" i="20" s="1"/>
  <c r="S30" i="20" s="1"/>
  <c r="T30" i="20" s="1"/>
  <c r="U30" i="20" s="1"/>
  <c r="N31" i="20"/>
  <c r="N33" i="20"/>
  <c r="O33" i="20"/>
  <c r="P33" i="20" s="1"/>
  <c r="Q33" i="20" s="1"/>
  <c r="R33" i="20" s="1"/>
  <c r="S33" i="20" s="1"/>
  <c r="T33" i="20" s="1"/>
  <c r="U33" i="20" s="1"/>
  <c r="N34" i="20"/>
  <c r="N36" i="20"/>
  <c r="O36" i="20"/>
  <c r="P36" i="20" s="1"/>
  <c r="Q36" i="20" s="1"/>
  <c r="R36" i="20" s="1"/>
  <c r="S36" i="20" s="1"/>
  <c r="T36" i="20" s="1"/>
  <c r="U36" i="20" s="1"/>
  <c r="N37" i="20"/>
  <c r="N39" i="20"/>
  <c r="O39" i="20"/>
  <c r="P39" i="20" s="1"/>
  <c r="Q39" i="20" s="1"/>
  <c r="R39" i="20" s="1"/>
  <c r="S39" i="20" s="1"/>
  <c r="T39" i="20" s="1"/>
  <c r="U39" i="20" s="1"/>
  <c r="N40" i="20"/>
  <c r="C41" i="20"/>
  <c r="C44" i="20" s="1"/>
  <c r="C47" i="20" s="1"/>
  <c r="C50" i="20" s="1"/>
  <c r="C53" i="20" s="1"/>
  <c r="C56" i="20" s="1"/>
  <c r="N42" i="20"/>
  <c r="O42" i="20"/>
  <c r="P42" i="20" s="1"/>
  <c r="Q42" i="20" s="1"/>
  <c r="R42" i="20" s="1"/>
  <c r="S42" i="20" s="1"/>
  <c r="T42" i="20" s="1"/>
  <c r="U42" i="20" s="1"/>
  <c r="N43" i="20"/>
  <c r="N45" i="20"/>
  <c r="O45" i="20"/>
  <c r="P45" i="20" s="1"/>
  <c r="Q45" i="20" s="1"/>
  <c r="R45" i="20" s="1"/>
  <c r="S45" i="20" s="1"/>
  <c r="T45" i="20" s="1"/>
  <c r="U45" i="20" s="1"/>
  <c r="N46" i="20"/>
  <c r="N48" i="20"/>
  <c r="O48" i="20"/>
  <c r="P48" i="20" s="1"/>
  <c r="Q48" i="20" s="1"/>
  <c r="R48" i="20" s="1"/>
  <c r="S48" i="20" s="1"/>
  <c r="T48" i="20" s="1"/>
  <c r="U48" i="20" s="1"/>
  <c r="N49" i="20"/>
  <c r="N51" i="20"/>
  <c r="O51" i="20"/>
  <c r="P51" i="20" s="1"/>
  <c r="Q51" i="20" s="1"/>
  <c r="R51" i="20" s="1"/>
  <c r="S51" i="20" s="1"/>
  <c r="T51" i="20" s="1"/>
  <c r="U51" i="20" s="1"/>
  <c r="N52" i="20"/>
  <c r="N54" i="20"/>
  <c r="O54" i="20"/>
  <c r="P54" i="20" s="1"/>
  <c r="Q54" i="20" s="1"/>
  <c r="R54" i="20" s="1"/>
  <c r="S54" i="20" s="1"/>
  <c r="T54" i="20" s="1"/>
  <c r="U54" i="20" s="1"/>
  <c r="N55" i="20"/>
  <c r="N57" i="20"/>
  <c r="O57" i="20"/>
  <c r="P57" i="20" s="1"/>
  <c r="Q57" i="20" s="1"/>
  <c r="R57" i="20" s="1"/>
  <c r="S57" i="20" s="1"/>
  <c r="T57" i="20" s="1"/>
  <c r="U57" i="20" s="1"/>
  <c r="N58" i="20"/>
  <c r="D61" i="20"/>
  <c r="B37" i="4" s="1"/>
  <c r="E61" i="20"/>
  <c r="C37" i="4" s="1"/>
  <c r="F61" i="20"/>
  <c r="D37" i="4" s="1"/>
  <c r="G61" i="20"/>
  <c r="E37" i="4" s="1"/>
  <c r="H61" i="20"/>
  <c r="F37" i="4" s="1"/>
  <c r="I61" i="20"/>
  <c r="G37" i="4" s="1"/>
  <c r="J61" i="20"/>
  <c r="H37" i="4" s="1"/>
  <c r="K61" i="20"/>
  <c r="I37" i="4" s="1"/>
  <c r="L61" i="20"/>
  <c r="J37" i="4" s="1"/>
  <c r="M61" i="20"/>
  <c r="K37" i="4" s="1"/>
  <c r="B40" i="4"/>
  <c r="E62" i="20"/>
  <c r="C40" i="4" s="1"/>
  <c r="F62" i="20"/>
  <c r="D40" i="4" s="1"/>
  <c r="G62" i="20"/>
  <c r="E40" i="4" s="1"/>
  <c r="H62" i="20"/>
  <c r="F40" i="4" s="1"/>
  <c r="I62" i="20"/>
  <c r="G40" i="4" s="1"/>
  <c r="J62" i="20"/>
  <c r="H40" i="4" s="1"/>
  <c r="K62" i="20"/>
  <c r="I40" i="4" s="1"/>
  <c r="L62" i="20"/>
  <c r="J40" i="4" s="1"/>
  <c r="M62" i="20"/>
  <c r="K40" i="4" s="1"/>
  <c r="D50" i="20" l="1"/>
  <c r="D47" i="20"/>
  <c r="D44" i="20"/>
  <c r="D53" i="20"/>
  <c r="D59" i="20"/>
  <c r="D56" i="20"/>
  <c r="D41" i="20"/>
  <c r="D38" i="20"/>
  <c r="V57" i="20"/>
  <c r="J59" i="20"/>
  <c r="V54" i="20"/>
  <c r="J56" i="20"/>
  <c r="V51" i="20"/>
  <c r="J53" i="20"/>
  <c r="V48" i="20"/>
  <c r="J50" i="20"/>
  <c r="V45" i="20"/>
  <c r="J47" i="20"/>
  <c r="V42" i="20"/>
  <c r="J44" i="20"/>
  <c r="V39" i="20"/>
  <c r="J41" i="20"/>
  <c r="V36" i="20"/>
  <c r="J38" i="20"/>
  <c r="V33" i="20"/>
  <c r="J35" i="20"/>
  <c r="V30" i="20"/>
  <c r="J32" i="20"/>
  <c r="V27" i="20"/>
  <c r="J29" i="20"/>
  <c r="V24" i="20"/>
  <c r="J26" i="20"/>
  <c r="V21" i="20"/>
  <c r="J23" i="20"/>
  <c r="R18" i="20"/>
  <c r="F20" i="20"/>
  <c r="Q15" i="20"/>
  <c r="N61" i="20"/>
  <c r="L40" i="4"/>
  <c r="L37" i="4"/>
  <c r="N62" i="20"/>
  <c r="G53" i="20"/>
  <c r="G59" i="20"/>
  <c r="H53" i="20"/>
  <c r="G44" i="20"/>
  <c r="I38" i="20"/>
  <c r="F35" i="20"/>
  <c r="G32" i="20"/>
  <c r="G29" i="20"/>
  <c r="F26" i="20"/>
  <c r="F59" i="20"/>
  <c r="F44" i="20"/>
  <c r="F32" i="20"/>
  <c r="F53" i="20"/>
  <c r="G38" i="20"/>
  <c r="H56" i="20"/>
  <c r="G47" i="20"/>
  <c r="I41" i="20"/>
  <c r="F38" i="20"/>
  <c r="H38" i="20"/>
  <c r="F29" i="20"/>
  <c r="E59" i="20"/>
  <c r="H47" i="20"/>
  <c r="G56" i="20"/>
  <c r="I50" i="20"/>
  <c r="F47" i="20"/>
  <c r="H41" i="20"/>
  <c r="I47" i="20"/>
  <c r="I56" i="20"/>
  <c r="F56" i="20"/>
  <c r="H50" i="20"/>
  <c r="E47" i="20"/>
  <c r="G41" i="20"/>
  <c r="I35" i="20"/>
  <c r="I59" i="20"/>
  <c r="G50" i="20"/>
  <c r="G23" i="20"/>
  <c r="I44" i="20"/>
  <c r="F41" i="20"/>
  <c r="H35" i="20"/>
  <c r="H59" i="20"/>
  <c r="I53" i="20"/>
  <c r="F50" i="20"/>
  <c r="H44" i="20"/>
  <c r="G35" i="20"/>
  <c r="I32" i="20"/>
  <c r="G26" i="20"/>
  <c r="F23" i="20"/>
  <c r="H32" i="20"/>
  <c r="H29" i="20"/>
  <c r="H26" i="20"/>
  <c r="H23" i="20"/>
  <c r="D35" i="20"/>
  <c r="E35" i="20" s="1"/>
  <c r="D32" i="20"/>
  <c r="E32" i="20" s="1"/>
  <c r="D29" i="20"/>
  <c r="E29" i="20" s="1"/>
  <c r="D26" i="20"/>
  <c r="E26" i="20" s="1"/>
  <c r="E23" i="20"/>
  <c r="D20" i="20"/>
  <c r="E20" i="20" s="1"/>
  <c r="D17" i="20"/>
  <c r="E17" i="20" s="1"/>
  <c r="E56" i="20"/>
  <c r="E53" i="20"/>
  <c r="E50" i="20"/>
  <c r="E44" i="20"/>
  <c r="E41" i="20"/>
  <c r="E38" i="20"/>
  <c r="I29" i="20"/>
  <c r="I26" i="20"/>
  <c r="I23" i="20"/>
  <c r="W57" i="20" l="1"/>
  <c r="K59" i="20"/>
  <c r="W54" i="20"/>
  <c r="K56" i="20"/>
  <c r="W51" i="20"/>
  <c r="K53" i="20"/>
  <c r="W48" i="20"/>
  <c r="K50" i="20"/>
  <c r="W45" i="20"/>
  <c r="K47" i="20"/>
  <c r="W42" i="20"/>
  <c r="K44" i="20"/>
  <c r="W39" i="20"/>
  <c r="K41" i="20"/>
  <c r="W36" i="20"/>
  <c r="K38" i="20"/>
  <c r="W33" i="20"/>
  <c r="K35" i="20"/>
  <c r="W30" i="20"/>
  <c r="K32" i="20"/>
  <c r="W27" i="20"/>
  <c r="K29" i="20"/>
  <c r="W24" i="20"/>
  <c r="K26" i="20"/>
  <c r="W21" i="20"/>
  <c r="K23" i="20"/>
  <c r="R15" i="20"/>
  <c r="F17" i="20"/>
  <c r="F63" i="20" s="1"/>
  <c r="S18" i="20"/>
  <c r="G20" i="20"/>
  <c r="E63" i="20"/>
  <c r="D63" i="20"/>
  <c r="X57" i="20" l="1"/>
  <c r="M59" i="20" s="1"/>
  <c r="L59" i="20"/>
  <c r="X54" i="20"/>
  <c r="M56" i="20" s="1"/>
  <c r="L56" i="20"/>
  <c r="X51" i="20"/>
  <c r="M53" i="20" s="1"/>
  <c r="L53" i="20"/>
  <c r="X48" i="20"/>
  <c r="M50" i="20" s="1"/>
  <c r="L50" i="20"/>
  <c r="X45" i="20"/>
  <c r="M47" i="20" s="1"/>
  <c r="L47" i="20"/>
  <c r="X42" i="20"/>
  <c r="M44" i="20" s="1"/>
  <c r="L44" i="20"/>
  <c r="X39" i="20"/>
  <c r="M41" i="20" s="1"/>
  <c r="L41" i="20"/>
  <c r="X36" i="20"/>
  <c r="M38" i="20" s="1"/>
  <c r="L38" i="20"/>
  <c r="X33" i="20"/>
  <c r="M35" i="20" s="1"/>
  <c r="L35" i="20"/>
  <c r="X30" i="20"/>
  <c r="M32" i="20" s="1"/>
  <c r="L32" i="20"/>
  <c r="X27" i="20"/>
  <c r="M29" i="20" s="1"/>
  <c r="L29" i="20"/>
  <c r="X24" i="20"/>
  <c r="M26" i="20" s="1"/>
  <c r="L26" i="20"/>
  <c r="X21" i="20"/>
  <c r="M23" i="20" s="1"/>
  <c r="L23" i="20"/>
  <c r="T18" i="20"/>
  <c r="H20" i="20"/>
  <c r="S15" i="20"/>
  <c r="G17" i="20"/>
  <c r="N29" i="20" l="1"/>
  <c r="N56" i="20"/>
  <c r="N23" i="20"/>
  <c r="N59" i="20"/>
  <c r="N35" i="20"/>
  <c r="N50" i="20"/>
  <c r="N47" i="20"/>
  <c r="N32" i="20"/>
  <c r="N44" i="20"/>
  <c r="N38" i="20"/>
  <c r="N26" i="20"/>
  <c r="N53" i="20"/>
  <c r="N41" i="20"/>
  <c r="G63" i="20"/>
  <c r="T15" i="20"/>
  <c r="H17" i="20"/>
  <c r="H63" i="20" s="1"/>
  <c r="U18" i="20"/>
  <c r="I20" i="20"/>
  <c r="M49" i="4"/>
  <c r="V18" i="20" l="1"/>
  <c r="J20" i="20"/>
  <c r="U15" i="20"/>
  <c r="I17" i="20"/>
  <c r="I63" i="20" s="1"/>
  <c r="AE17" i="1"/>
  <c r="AF17" i="1"/>
  <c r="AG17" i="1"/>
  <c r="AI23" i="1"/>
  <c r="AI24" i="1" s="1"/>
  <c r="L15" i="1"/>
  <c r="I55" i="1" s="1"/>
  <c r="L12" i="1"/>
  <c r="S16" i="13" s="1"/>
  <c r="G346" i="1"/>
  <c r="G348" i="1"/>
  <c r="P16" i="13"/>
  <c r="Q16" i="13"/>
  <c r="R16" i="13"/>
  <c r="N18" i="4"/>
  <c r="N21" i="4"/>
  <c r="N23" i="4"/>
  <c r="N31" i="4"/>
  <c r="N32" i="4"/>
  <c r="N33" i="4"/>
  <c r="N37" i="4"/>
  <c r="F79" i="4"/>
  <c r="E79" i="4"/>
  <c r="D79" i="4"/>
  <c r="C79" i="4"/>
  <c r="B79" i="4"/>
  <c r="A53" i="4"/>
  <c r="C39" i="4"/>
  <c r="K39" i="4"/>
  <c r="J39" i="4"/>
  <c r="I39" i="4"/>
  <c r="H39" i="4"/>
  <c r="G39" i="4"/>
  <c r="F39" i="4"/>
  <c r="E39" i="4"/>
  <c r="D39" i="4"/>
  <c r="B39" i="4"/>
  <c r="D7" i="4"/>
  <c r="D6" i="4"/>
  <c r="D5" i="4"/>
  <c r="D4" i="4"/>
  <c r="A3" i="4"/>
  <c r="G1" i="4"/>
  <c r="W13" i="4"/>
  <c r="V13" i="4"/>
  <c r="U13" i="4"/>
  <c r="T13" i="4"/>
  <c r="S13" i="4"/>
  <c r="R13" i="4"/>
  <c r="Q13" i="4"/>
  <c r="P13" i="4"/>
  <c r="O13" i="4"/>
  <c r="N13" i="4"/>
  <c r="K10" i="13"/>
  <c r="D12" i="13"/>
  <c r="A410" i="13"/>
  <c r="A409" i="13"/>
  <c r="A408" i="13"/>
  <c r="A407" i="13"/>
  <c r="A406" i="13"/>
  <c r="A405" i="13"/>
  <c r="A404" i="13"/>
  <c r="A403" i="13"/>
  <c r="A402" i="13"/>
  <c r="A401" i="13"/>
  <c r="A400" i="13"/>
  <c r="A399" i="13"/>
  <c r="A398" i="13"/>
  <c r="A397" i="13"/>
  <c r="A396" i="13"/>
  <c r="A395" i="13"/>
  <c r="A394" i="13"/>
  <c r="A393" i="13"/>
  <c r="A392" i="13"/>
  <c r="A391" i="13"/>
  <c r="A390" i="13"/>
  <c r="A389" i="13"/>
  <c r="A388" i="13"/>
  <c r="A387" i="13"/>
  <c r="A386" i="13"/>
  <c r="A385" i="13"/>
  <c r="A384" i="13"/>
  <c r="A383" i="13"/>
  <c r="A382" i="13"/>
  <c r="A381" i="13"/>
  <c r="A380" i="13"/>
  <c r="A379" i="13"/>
  <c r="A378" i="13"/>
  <c r="A377" i="13"/>
  <c r="A376" i="13"/>
  <c r="A375" i="13"/>
  <c r="A374" i="13"/>
  <c r="A373" i="13"/>
  <c r="A372" i="13"/>
  <c r="A371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A338" i="13"/>
  <c r="A337" i="13"/>
  <c r="A336" i="13"/>
  <c r="A335" i="13"/>
  <c r="A334" i="13"/>
  <c r="A333" i="13"/>
  <c r="A332" i="13"/>
  <c r="A331" i="13"/>
  <c r="A330" i="13"/>
  <c r="A329" i="13"/>
  <c r="A328" i="13"/>
  <c r="A327" i="13"/>
  <c r="A326" i="13"/>
  <c r="A325" i="13"/>
  <c r="A324" i="13"/>
  <c r="A323" i="13"/>
  <c r="A322" i="13"/>
  <c r="A321" i="13"/>
  <c r="A320" i="13"/>
  <c r="A319" i="13"/>
  <c r="A318" i="13"/>
  <c r="A317" i="13"/>
  <c r="A316" i="13"/>
  <c r="A315" i="13"/>
  <c r="A314" i="13"/>
  <c r="A313" i="13"/>
  <c r="A312" i="13"/>
  <c r="A311" i="13"/>
  <c r="A310" i="13"/>
  <c r="A309" i="13"/>
  <c r="A308" i="13"/>
  <c r="A307" i="13"/>
  <c r="A306" i="13"/>
  <c r="A305" i="13"/>
  <c r="A304" i="13"/>
  <c r="A303" i="13"/>
  <c r="A302" i="13"/>
  <c r="A301" i="13"/>
  <c r="A300" i="13"/>
  <c r="A299" i="13"/>
  <c r="H245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A266" i="13"/>
  <c r="A265" i="13"/>
  <c r="A264" i="13"/>
  <c r="A263" i="13"/>
  <c r="A262" i="13"/>
  <c r="A261" i="13"/>
  <c r="A260" i="13"/>
  <c r="A259" i="13"/>
  <c r="A258" i="13"/>
  <c r="A257" i="13"/>
  <c r="A256" i="13"/>
  <c r="A255" i="13"/>
  <c r="A254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J55" i="14"/>
  <c r="H55" i="14"/>
  <c r="F55" i="14"/>
  <c r="J111" i="14"/>
  <c r="H111" i="14"/>
  <c r="F111" i="14"/>
  <c r="H14" i="19"/>
  <c r="H15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F5" i="19"/>
  <c r="C14" i="19"/>
  <c r="A329" i="14"/>
  <c r="A328" i="14"/>
  <c r="A327" i="14"/>
  <c r="A326" i="14"/>
  <c r="A325" i="14"/>
  <c r="A324" i="14"/>
  <c r="A323" i="14"/>
  <c r="A322" i="14"/>
  <c r="A321" i="14"/>
  <c r="A320" i="14"/>
  <c r="A319" i="14"/>
  <c r="A318" i="14"/>
  <c r="A317" i="14"/>
  <c r="A316" i="14"/>
  <c r="A315" i="14"/>
  <c r="A314" i="14"/>
  <c r="A313" i="14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F286" i="14"/>
  <c r="F285" i="14"/>
  <c r="F284" i="14"/>
  <c r="F283" i="14"/>
  <c r="F230" i="14"/>
  <c r="F229" i="14"/>
  <c r="F228" i="14"/>
  <c r="F227" i="14"/>
  <c r="F172" i="14"/>
  <c r="F175" i="14"/>
  <c r="F174" i="14"/>
  <c r="F173" i="14"/>
  <c r="F117" i="14"/>
  <c r="F120" i="14"/>
  <c r="F119" i="14"/>
  <c r="F118" i="14"/>
  <c r="F65" i="14"/>
  <c r="F64" i="14"/>
  <c r="F63" i="14"/>
  <c r="F62" i="14"/>
  <c r="F9" i="14"/>
  <c r="F8" i="14"/>
  <c r="F7" i="14"/>
  <c r="F6" i="14"/>
  <c r="K17" i="13"/>
  <c r="E11" i="19"/>
  <c r="J11" i="19" s="1"/>
  <c r="D8" i="13"/>
  <c r="F294" i="13" s="1"/>
  <c r="D7" i="13"/>
  <c r="F221" i="13" s="1"/>
  <c r="D6" i="13"/>
  <c r="F364" i="13" s="1"/>
  <c r="D5" i="13"/>
  <c r="F219" i="13" s="1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L62" i="1"/>
  <c r="L61" i="1"/>
  <c r="L55" i="1"/>
  <c r="L54" i="1"/>
  <c r="L53" i="1"/>
  <c r="F24" i="1"/>
  <c r="F25" i="1"/>
  <c r="A118" i="1"/>
  <c r="A108" i="14" s="1"/>
  <c r="A117" i="1"/>
  <c r="A107" i="14" s="1"/>
  <c r="A116" i="1"/>
  <c r="A106" i="14" s="1"/>
  <c r="A115" i="1"/>
  <c r="A105" i="14" s="1"/>
  <c r="A114" i="1"/>
  <c r="A104" i="14" s="1"/>
  <c r="A113" i="1"/>
  <c r="A112" i="1"/>
  <c r="A102" i="14" s="1"/>
  <c r="A111" i="1"/>
  <c r="A101" i="14" s="1"/>
  <c r="A110" i="1"/>
  <c r="A100" i="14" s="1"/>
  <c r="A109" i="1"/>
  <c r="A108" i="1"/>
  <c r="A107" i="1"/>
  <c r="A97" i="14" s="1"/>
  <c r="A106" i="1"/>
  <c r="A96" i="14" s="1"/>
  <c r="A105" i="1"/>
  <c r="A95" i="14" s="1"/>
  <c r="A104" i="1"/>
  <c r="A94" i="14" s="1"/>
  <c r="A103" i="1"/>
  <c r="A93" i="14" s="1"/>
  <c r="A102" i="1"/>
  <c r="A92" i="14" s="1"/>
  <c r="A101" i="1"/>
  <c r="A91" i="14" s="1"/>
  <c r="A100" i="1"/>
  <c r="A99" i="1"/>
  <c r="A89" i="14" s="1"/>
  <c r="A98" i="1"/>
  <c r="A88" i="14" s="1"/>
  <c r="A97" i="1"/>
  <c r="A96" i="1"/>
  <c r="A86" i="14" s="1"/>
  <c r="A95" i="1"/>
  <c r="A85" i="14" s="1"/>
  <c r="A94" i="1"/>
  <c r="A84" i="14" s="1"/>
  <c r="A93" i="1"/>
  <c r="A83" i="14" s="1"/>
  <c r="A92" i="1"/>
  <c r="A91" i="1"/>
  <c r="A81" i="14" s="1"/>
  <c r="A90" i="1"/>
  <c r="A80" i="14" s="1"/>
  <c r="A89" i="1"/>
  <c r="A88" i="1"/>
  <c r="A78" i="14" s="1"/>
  <c r="A87" i="1"/>
  <c r="A77" i="14" s="1"/>
  <c r="A86" i="1"/>
  <c r="A76" i="14" s="1"/>
  <c r="A85" i="1"/>
  <c r="A84" i="1"/>
  <c r="A83" i="1"/>
  <c r="A82" i="1"/>
  <c r="A72" i="14" s="1"/>
  <c r="A81" i="1"/>
  <c r="A71" i="14" s="1"/>
  <c r="A80" i="1"/>
  <c r="A70" i="14" s="1"/>
  <c r="A79" i="1"/>
  <c r="A69" i="14" s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60" i="4"/>
  <c r="E60" i="4"/>
  <c r="D60" i="4"/>
  <c r="C60" i="4"/>
  <c r="A3" i="14"/>
  <c r="A5" i="14"/>
  <c r="D13" i="14"/>
  <c r="F13" i="14"/>
  <c r="G13" i="14"/>
  <c r="H13" i="14"/>
  <c r="I13" i="14"/>
  <c r="J13" i="14"/>
  <c r="D14" i="14"/>
  <c r="G14" i="14"/>
  <c r="H14" i="14"/>
  <c r="I14" i="14"/>
  <c r="J14" i="14"/>
  <c r="E15" i="14"/>
  <c r="F15" i="14"/>
  <c r="H15" i="14"/>
  <c r="J15" i="14"/>
  <c r="K15" i="14"/>
  <c r="B16" i="14"/>
  <c r="E16" i="14"/>
  <c r="F16" i="14"/>
  <c r="G16" i="14"/>
  <c r="H16" i="14"/>
  <c r="I16" i="14"/>
  <c r="J16" i="14"/>
  <c r="K16" i="14"/>
  <c r="B17" i="14"/>
  <c r="D17" i="14"/>
  <c r="F17" i="14"/>
  <c r="G17" i="14"/>
  <c r="H17" i="14"/>
  <c r="I17" i="14"/>
  <c r="J17" i="14"/>
  <c r="K17" i="14"/>
  <c r="C18" i="14"/>
  <c r="D18" i="14"/>
  <c r="E18" i="14"/>
  <c r="G18" i="14"/>
  <c r="H18" i="14"/>
  <c r="J18" i="14"/>
  <c r="K18" i="14"/>
  <c r="B19" i="14"/>
  <c r="D19" i="14"/>
  <c r="E19" i="14"/>
  <c r="G19" i="14"/>
  <c r="H19" i="14"/>
  <c r="I19" i="14"/>
  <c r="J19" i="14"/>
  <c r="C20" i="14"/>
  <c r="E20" i="14"/>
  <c r="F20" i="14"/>
  <c r="G20" i="14"/>
  <c r="H20" i="14"/>
  <c r="I20" i="14"/>
  <c r="J20" i="14"/>
  <c r="D21" i="14"/>
  <c r="E21" i="14"/>
  <c r="F21" i="14"/>
  <c r="G21" i="14"/>
  <c r="H21" i="14"/>
  <c r="J21" i="14"/>
  <c r="K21" i="14"/>
  <c r="B22" i="14"/>
  <c r="C22" i="14"/>
  <c r="E22" i="14"/>
  <c r="F22" i="14"/>
  <c r="G22" i="14"/>
  <c r="H22" i="14"/>
  <c r="I22" i="14"/>
  <c r="J22" i="14"/>
  <c r="K22" i="14"/>
  <c r="C23" i="14"/>
  <c r="D23" i="14"/>
  <c r="E23" i="14"/>
  <c r="F23" i="14"/>
  <c r="G23" i="14"/>
  <c r="H23" i="14"/>
  <c r="I23" i="14"/>
  <c r="J23" i="14"/>
  <c r="K23" i="14"/>
  <c r="B24" i="14"/>
  <c r="C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H25" i="14"/>
  <c r="I25" i="14"/>
  <c r="J25" i="14"/>
  <c r="K25" i="14"/>
  <c r="B26" i="14"/>
  <c r="C26" i="14"/>
  <c r="E26" i="14"/>
  <c r="F26" i="14"/>
  <c r="G26" i="14"/>
  <c r="H26" i="14"/>
  <c r="I26" i="14"/>
  <c r="J26" i="14"/>
  <c r="K26" i="14"/>
  <c r="B27" i="14"/>
  <c r="C27" i="14"/>
  <c r="E27" i="14"/>
  <c r="F27" i="14"/>
  <c r="G27" i="14"/>
  <c r="H27" i="14"/>
  <c r="I27" i="14"/>
  <c r="J27" i="14"/>
  <c r="K27" i="14"/>
  <c r="C28" i="14"/>
  <c r="D28" i="14"/>
  <c r="E28" i="14"/>
  <c r="F28" i="14"/>
  <c r="G28" i="14"/>
  <c r="H28" i="14"/>
  <c r="I28" i="14"/>
  <c r="J28" i="14"/>
  <c r="K28" i="14"/>
  <c r="B29" i="14"/>
  <c r="C29" i="14"/>
  <c r="E29" i="14"/>
  <c r="F29" i="14"/>
  <c r="G29" i="14"/>
  <c r="H29" i="14"/>
  <c r="I29" i="14"/>
  <c r="J29" i="14"/>
  <c r="K29" i="14"/>
  <c r="B30" i="14"/>
  <c r="C30" i="14"/>
  <c r="E30" i="14"/>
  <c r="F30" i="14"/>
  <c r="G30" i="14"/>
  <c r="H30" i="14"/>
  <c r="I30" i="14"/>
  <c r="J30" i="14"/>
  <c r="K30" i="14"/>
  <c r="B31" i="14"/>
  <c r="C31" i="14"/>
  <c r="E31" i="14"/>
  <c r="F31" i="14"/>
  <c r="G31" i="14"/>
  <c r="H31" i="14"/>
  <c r="I31" i="14"/>
  <c r="J31" i="14"/>
  <c r="K31" i="14"/>
  <c r="B32" i="14"/>
  <c r="C32" i="14"/>
  <c r="E32" i="14"/>
  <c r="F32" i="14"/>
  <c r="G32" i="14"/>
  <c r="H32" i="14"/>
  <c r="I32" i="14"/>
  <c r="J32" i="14"/>
  <c r="K32" i="14"/>
  <c r="B33" i="14"/>
  <c r="D33" i="14"/>
  <c r="E33" i="14"/>
  <c r="F33" i="14"/>
  <c r="G33" i="14"/>
  <c r="H33" i="14"/>
  <c r="I33" i="14"/>
  <c r="J33" i="14"/>
  <c r="K33" i="14"/>
  <c r="B34" i="14"/>
  <c r="D34" i="14"/>
  <c r="E34" i="14"/>
  <c r="F34" i="14"/>
  <c r="G34" i="14"/>
  <c r="H34" i="14"/>
  <c r="I34" i="14"/>
  <c r="J34" i="14"/>
  <c r="K34" i="14"/>
  <c r="B35" i="14"/>
  <c r="D35" i="14"/>
  <c r="E35" i="14"/>
  <c r="F35" i="14"/>
  <c r="G35" i="14"/>
  <c r="H35" i="14"/>
  <c r="I35" i="14"/>
  <c r="J35" i="14"/>
  <c r="K35" i="14"/>
  <c r="B36" i="14"/>
  <c r="D36" i="14"/>
  <c r="E36" i="14"/>
  <c r="F36" i="14"/>
  <c r="G36" i="14"/>
  <c r="H36" i="14"/>
  <c r="I36" i="14"/>
  <c r="J36" i="14"/>
  <c r="K36" i="14"/>
  <c r="B37" i="14"/>
  <c r="D37" i="14"/>
  <c r="E37" i="14"/>
  <c r="F37" i="14"/>
  <c r="G37" i="14"/>
  <c r="H37" i="14"/>
  <c r="I37" i="14"/>
  <c r="J37" i="14"/>
  <c r="K37" i="14"/>
  <c r="B38" i="14"/>
  <c r="D38" i="14"/>
  <c r="E38" i="14"/>
  <c r="F38" i="14"/>
  <c r="G38" i="14"/>
  <c r="H38" i="14"/>
  <c r="I38" i="14"/>
  <c r="J38" i="14"/>
  <c r="K38" i="14"/>
  <c r="B39" i="14"/>
  <c r="D39" i="14"/>
  <c r="E39" i="14"/>
  <c r="F39" i="14"/>
  <c r="G39" i="14"/>
  <c r="H39" i="14"/>
  <c r="I39" i="14"/>
  <c r="J39" i="14"/>
  <c r="K39" i="14"/>
  <c r="B40" i="14"/>
  <c r="D40" i="14"/>
  <c r="E40" i="14"/>
  <c r="F40" i="14"/>
  <c r="G40" i="14"/>
  <c r="H40" i="14"/>
  <c r="I40" i="14"/>
  <c r="J40" i="14"/>
  <c r="K40" i="14"/>
  <c r="B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J42" i="14"/>
  <c r="K42" i="14"/>
  <c r="B43" i="14"/>
  <c r="C43" i="14"/>
  <c r="D43" i="14"/>
  <c r="E43" i="14"/>
  <c r="F43" i="14"/>
  <c r="G43" i="14"/>
  <c r="H43" i="14"/>
  <c r="J43" i="14"/>
  <c r="K43" i="14"/>
  <c r="B44" i="14"/>
  <c r="C44" i="14"/>
  <c r="D44" i="14"/>
  <c r="E44" i="14"/>
  <c r="F44" i="14"/>
  <c r="G44" i="14"/>
  <c r="H44" i="14"/>
  <c r="J44" i="14"/>
  <c r="K44" i="14"/>
  <c r="B45" i="14"/>
  <c r="D45" i="14"/>
  <c r="E45" i="14"/>
  <c r="F45" i="14"/>
  <c r="G45" i="14"/>
  <c r="H45" i="14"/>
  <c r="I45" i="14"/>
  <c r="J45" i="14"/>
  <c r="K45" i="14"/>
  <c r="B46" i="14"/>
  <c r="D46" i="14"/>
  <c r="E46" i="14"/>
  <c r="F46" i="14"/>
  <c r="G46" i="14"/>
  <c r="H46" i="14"/>
  <c r="I46" i="14"/>
  <c r="J46" i="14"/>
  <c r="K46" i="14"/>
  <c r="B47" i="14"/>
  <c r="D47" i="14"/>
  <c r="E47" i="14"/>
  <c r="F47" i="14"/>
  <c r="G47" i="14"/>
  <c r="H47" i="14"/>
  <c r="I47" i="14"/>
  <c r="J47" i="14"/>
  <c r="K47" i="14"/>
  <c r="B48" i="14"/>
  <c r="D48" i="14"/>
  <c r="E48" i="14"/>
  <c r="F48" i="14"/>
  <c r="G48" i="14"/>
  <c r="H48" i="14"/>
  <c r="I48" i="14"/>
  <c r="J48" i="14"/>
  <c r="K48" i="14"/>
  <c r="B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J50" i="14"/>
  <c r="K50" i="14"/>
  <c r="B51" i="14"/>
  <c r="C51" i="14"/>
  <c r="D51" i="14"/>
  <c r="E51" i="14"/>
  <c r="F51" i="14"/>
  <c r="G51" i="14"/>
  <c r="H51" i="14"/>
  <c r="J51" i="14"/>
  <c r="K51" i="14"/>
  <c r="C52" i="14"/>
  <c r="D52" i="14"/>
  <c r="E52" i="14"/>
  <c r="F52" i="14"/>
  <c r="G52" i="14"/>
  <c r="H52" i="14"/>
  <c r="I52" i="14"/>
  <c r="J52" i="14"/>
  <c r="K52" i="14"/>
  <c r="F54" i="14"/>
  <c r="H54" i="14"/>
  <c r="I54" i="14"/>
  <c r="J54" i="14"/>
  <c r="D69" i="14"/>
  <c r="F69" i="14"/>
  <c r="G69" i="14"/>
  <c r="H69" i="14"/>
  <c r="I69" i="14"/>
  <c r="J69" i="14"/>
  <c r="D70" i="14"/>
  <c r="G70" i="14"/>
  <c r="H70" i="14"/>
  <c r="I70" i="14"/>
  <c r="J70" i="14"/>
  <c r="E71" i="14"/>
  <c r="F71" i="14"/>
  <c r="H71" i="14"/>
  <c r="J71" i="14"/>
  <c r="K71" i="14"/>
  <c r="B72" i="14"/>
  <c r="E72" i="14"/>
  <c r="F72" i="14"/>
  <c r="G72" i="14"/>
  <c r="H72" i="14"/>
  <c r="I72" i="14"/>
  <c r="J72" i="14"/>
  <c r="K72" i="14"/>
  <c r="B73" i="14"/>
  <c r="D73" i="14"/>
  <c r="F73" i="14"/>
  <c r="G73" i="14"/>
  <c r="H73" i="14"/>
  <c r="I73" i="14"/>
  <c r="J73" i="14"/>
  <c r="K73" i="14"/>
  <c r="C74" i="14"/>
  <c r="D74" i="14"/>
  <c r="E74" i="14"/>
  <c r="G74" i="14"/>
  <c r="H74" i="14"/>
  <c r="J74" i="14"/>
  <c r="K74" i="14"/>
  <c r="B75" i="14"/>
  <c r="D75" i="14"/>
  <c r="E75" i="14"/>
  <c r="G75" i="14"/>
  <c r="H75" i="14"/>
  <c r="I75" i="14"/>
  <c r="J75" i="14"/>
  <c r="C76" i="14"/>
  <c r="E76" i="14"/>
  <c r="F76" i="14"/>
  <c r="G76" i="14"/>
  <c r="H76" i="14"/>
  <c r="I76" i="14"/>
  <c r="J76" i="14"/>
  <c r="D77" i="14"/>
  <c r="E77" i="14"/>
  <c r="F77" i="14"/>
  <c r="G77" i="14"/>
  <c r="H77" i="14"/>
  <c r="J77" i="14"/>
  <c r="K77" i="14"/>
  <c r="B78" i="14"/>
  <c r="C78" i="14"/>
  <c r="E78" i="14"/>
  <c r="F78" i="14"/>
  <c r="G78" i="14"/>
  <c r="H78" i="14"/>
  <c r="I78" i="14"/>
  <c r="J78" i="14"/>
  <c r="K78" i="14"/>
  <c r="C79" i="14"/>
  <c r="D79" i="14"/>
  <c r="E79" i="14"/>
  <c r="F79" i="14"/>
  <c r="G79" i="14"/>
  <c r="H79" i="14"/>
  <c r="I79" i="14"/>
  <c r="J79" i="14"/>
  <c r="K79" i="14"/>
  <c r="B80" i="14"/>
  <c r="C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H81" i="14"/>
  <c r="I81" i="14"/>
  <c r="J81" i="14"/>
  <c r="K81" i="14"/>
  <c r="B82" i="14"/>
  <c r="C82" i="14"/>
  <c r="E82" i="14"/>
  <c r="F82" i="14"/>
  <c r="G82" i="14"/>
  <c r="H82" i="14"/>
  <c r="I82" i="14"/>
  <c r="J82" i="14"/>
  <c r="K82" i="14"/>
  <c r="B83" i="14"/>
  <c r="C83" i="14"/>
  <c r="E83" i="14"/>
  <c r="F83" i="14"/>
  <c r="G83" i="14"/>
  <c r="H83" i="14"/>
  <c r="I83" i="14"/>
  <c r="J83" i="14"/>
  <c r="K83" i="14"/>
  <c r="C84" i="14"/>
  <c r="D84" i="14"/>
  <c r="E84" i="14"/>
  <c r="F84" i="14"/>
  <c r="G84" i="14"/>
  <c r="H84" i="14"/>
  <c r="I84" i="14"/>
  <c r="J84" i="14"/>
  <c r="K84" i="14"/>
  <c r="B85" i="14"/>
  <c r="C85" i="14"/>
  <c r="E85" i="14"/>
  <c r="F85" i="14"/>
  <c r="G85" i="14"/>
  <c r="H85" i="14"/>
  <c r="I85" i="14"/>
  <c r="J85" i="14"/>
  <c r="K85" i="14"/>
  <c r="B86" i="14"/>
  <c r="C86" i="14"/>
  <c r="E86" i="14"/>
  <c r="F86" i="14"/>
  <c r="G86" i="14"/>
  <c r="H86" i="14"/>
  <c r="I86" i="14"/>
  <c r="J86" i="14"/>
  <c r="K86" i="14"/>
  <c r="B87" i="14"/>
  <c r="C87" i="14"/>
  <c r="E87" i="14"/>
  <c r="F87" i="14"/>
  <c r="G87" i="14"/>
  <c r="H87" i="14"/>
  <c r="I87" i="14"/>
  <c r="J87" i="14"/>
  <c r="K87" i="14"/>
  <c r="B88" i="14"/>
  <c r="C88" i="14"/>
  <c r="E88" i="14"/>
  <c r="F88" i="14"/>
  <c r="G88" i="14"/>
  <c r="H88" i="14"/>
  <c r="I88" i="14"/>
  <c r="J88" i="14"/>
  <c r="K88" i="14"/>
  <c r="B89" i="14"/>
  <c r="D89" i="14"/>
  <c r="E89" i="14"/>
  <c r="F89" i="14"/>
  <c r="G89" i="14"/>
  <c r="H89" i="14"/>
  <c r="I89" i="14"/>
  <c r="J89" i="14"/>
  <c r="K89" i="14"/>
  <c r="B90" i="14"/>
  <c r="D90" i="14"/>
  <c r="E90" i="14"/>
  <c r="F90" i="14"/>
  <c r="G90" i="14"/>
  <c r="H90" i="14"/>
  <c r="I90" i="14"/>
  <c r="J90" i="14"/>
  <c r="K90" i="14"/>
  <c r="B91" i="14"/>
  <c r="D91" i="14"/>
  <c r="E91" i="14"/>
  <c r="F91" i="14"/>
  <c r="G91" i="14"/>
  <c r="H91" i="14"/>
  <c r="I91" i="14"/>
  <c r="J91" i="14"/>
  <c r="K91" i="14"/>
  <c r="B92" i="14"/>
  <c r="D92" i="14"/>
  <c r="E92" i="14"/>
  <c r="F92" i="14"/>
  <c r="G92" i="14"/>
  <c r="H92" i="14"/>
  <c r="I92" i="14"/>
  <c r="J92" i="14"/>
  <c r="K92" i="14"/>
  <c r="B93" i="14"/>
  <c r="D93" i="14"/>
  <c r="E93" i="14"/>
  <c r="F93" i="14"/>
  <c r="G93" i="14"/>
  <c r="H93" i="14"/>
  <c r="I93" i="14"/>
  <c r="J93" i="14"/>
  <c r="K93" i="14"/>
  <c r="B94" i="14"/>
  <c r="D94" i="14"/>
  <c r="E94" i="14"/>
  <c r="F94" i="14"/>
  <c r="G94" i="14"/>
  <c r="H94" i="14"/>
  <c r="I94" i="14"/>
  <c r="J94" i="14"/>
  <c r="K94" i="14"/>
  <c r="B95" i="14"/>
  <c r="D95" i="14"/>
  <c r="E95" i="14"/>
  <c r="F95" i="14"/>
  <c r="G95" i="14"/>
  <c r="H95" i="14"/>
  <c r="I95" i="14"/>
  <c r="J95" i="14"/>
  <c r="K95" i="14"/>
  <c r="B96" i="14"/>
  <c r="D96" i="14"/>
  <c r="E96" i="14"/>
  <c r="F96" i="14"/>
  <c r="G96" i="14"/>
  <c r="H96" i="14"/>
  <c r="I96" i="14"/>
  <c r="J96" i="14"/>
  <c r="K96" i="14"/>
  <c r="B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J98" i="14"/>
  <c r="K98" i="14"/>
  <c r="B99" i="14"/>
  <c r="C99" i="14"/>
  <c r="D99" i="14"/>
  <c r="E99" i="14"/>
  <c r="F99" i="14"/>
  <c r="G99" i="14"/>
  <c r="H99" i="14"/>
  <c r="J99" i="14"/>
  <c r="K99" i="14"/>
  <c r="B100" i="14"/>
  <c r="C100" i="14"/>
  <c r="D100" i="14"/>
  <c r="E100" i="14"/>
  <c r="F100" i="14"/>
  <c r="G100" i="14"/>
  <c r="H100" i="14"/>
  <c r="J100" i="14"/>
  <c r="K100" i="14"/>
  <c r="B101" i="14"/>
  <c r="D101" i="14"/>
  <c r="E101" i="14"/>
  <c r="F101" i="14"/>
  <c r="G101" i="14"/>
  <c r="H101" i="14"/>
  <c r="I101" i="14"/>
  <c r="J101" i="14"/>
  <c r="K101" i="14"/>
  <c r="B102" i="14"/>
  <c r="D102" i="14"/>
  <c r="E102" i="14"/>
  <c r="F102" i="14"/>
  <c r="G102" i="14"/>
  <c r="H102" i="14"/>
  <c r="I102" i="14"/>
  <c r="J102" i="14"/>
  <c r="K102" i="14"/>
  <c r="B103" i="14"/>
  <c r="D103" i="14"/>
  <c r="E103" i="14"/>
  <c r="F103" i="14"/>
  <c r="G103" i="14"/>
  <c r="H103" i="14"/>
  <c r="I103" i="14"/>
  <c r="J103" i="14"/>
  <c r="K103" i="14"/>
  <c r="B104" i="14"/>
  <c r="D104" i="14"/>
  <c r="E104" i="14"/>
  <c r="F104" i="14"/>
  <c r="G104" i="14"/>
  <c r="H104" i="14"/>
  <c r="I104" i="14"/>
  <c r="J104" i="14"/>
  <c r="K104" i="14"/>
  <c r="B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J106" i="14"/>
  <c r="K106" i="14"/>
  <c r="B107" i="14"/>
  <c r="C107" i="14"/>
  <c r="D107" i="14"/>
  <c r="E107" i="14"/>
  <c r="F107" i="14"/>
  <c r="G107" i="14"/>
  <c r="H107" i="14"/>
  <c r="J107" i="14"/>
  <c r="K107" i="14"/>
  <c r="C108" i="14"/>
  <c r="D108" i="14"/>
  <c r="E108" i="14"/>
  <c r="F108" i="14"/>
  <c r="G108" i="14"/>
  <c r="H108" i="14"/>
  <c r="I108" i="14"/>
  <c r="J108" i="14"/>
  <c r="K108" i="14"/>
  <c r="F110" i="14"/>
  <c r="H110" i="14"/>
  <c r="I110" i="14"/>
  <c r="J110" i="14"/>
  <c r="D124" i="14"/>
  <c r="F124" i="14"/>
  <c r="G124" i="14"/>
  <c r="H124" i="14"/>
  <c r="I124" i="14"/>
  <c r="J124" i="14"/>
  <c r="D125" i="14"/>
  <c r="G125" i="14"/>
  <c r="H125" i="14"/>
  <c r="I125" i="14"/>
  <c r="J125" i="14"/>
  <c r="E126" i="14"/>
  <c r="F126" i="14"/>
  <c r="H126" i="14"/>
  <c r="J126" i="14"/>
  <c r="K126" i="14"/>
  <c r="B127" i="14"/>
  <c r="E127" i="14"/>
  <c r="F127" i="14"/>
  <c r="G127" i="14"/>
  <c r="H127" i="14"/>
  <c r="I127" i="14"/>
  <c r="J127" i="14"/>
  <c r="K127" i="14"/>
  <c r="B128" i="14"/>
  <c r="D128" i="14"/>
  <c r="F128" i="14"/>
  <c r="G128" i="14"/>
  <c r="H128" i="14"/>
  <c r="I128" i="14"/>
  <c r="J128" i="14"/>
  <c r="K128" i="14"/>
  <c r="C129" i="14"/>
  <c r="D129" i="14"/>
  <c r="E129" i="14"/>
  <c r="G129" i="14"/>
  <c r="H129" i="14"/>
  <c r="J129" i="14"/>
  <c r="K129" i="14"/>
  <c r="B130" i="14"/>
  <c r="D130" i="14"/>
  <c r="E130" i="14"/>
  <c r="G130" i="14"/>
  <c r="H130" i="14"/>
  <c r="I130" i="14"/>
  <c r="J130" i="14"/>
  <c r="C131" i="14"/>
  <c r="E131" i="14"/>
  <c r="F131" i="14"/>
  <c r="G131" i="14"/>
  <c r="H131" i="14"/>
  <c r="I131" i="14"/>
  <c r="J131" i="14"/>
  <c r="D132" i="14"/>
  <c r="E132" i="14"/>
  <c r="F132" i="14"/>
  <c r="G132" i="14"/>
  <c r="H132" i="14"/>
  <c r="J132" i="14"/>
  <c r="K132" i="14"/>
  <c r="B133" i="14"/>
  <c r="C133" i="14"/>
  <c r="E133" i="14"/>
  <c r="F133" i="14"/>
  <c r="G133" i="14"/>
  <c r="H133" i="14"/>
  <c r="I133" i="14"/>
  <c r="J133" i="14"/>
  <c r="K133" i="14"/>
  <c r="C134" i="14"/>
  <c r="D134" i="14"/>
  <c r="E134" i="14"/>
  <c r="F134" i="14"/>
  <c r="G134" i="14"/>
  <c r="H134" i="14"/>
  <c r="I134" i="14"/>
  <c r="J134" i="14"/>
  <c r="K134" i="14"/>
  <c r="B135" i="14"/>
  <c r="C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H136" i="14"/>
  <c r="I136" i="14"/>
  <c r="J136" i="14"/>
  <c r="K136" i="14"/>
  <c r="B137" i="14"/>
  <c r="C137" i="14"/>
  <c r="E137" i="14"/>
  <c r="F137" i="14"/>
  <c r="G137" i="14"/>
  <c r="H137" i="14"/>
  <c r="I137" i="14"/>
  <c r="J137" i="14"/>
  <c r="K137" i="14"/>
  <c r="B138" i="14"/>
  <c r="C138" i="14"/>
  <c r="E138" i="14"/>
  <c r="F138" i="14"/>
  <c r="G138" i="14"/>
  <c r="H138" i="14"/>
  <c r="I138" i="14"/>
  <c r="J138" i="14"/>
  <c r="K138" i="14"/>
  <c r="C139" i="14"/>
  <c r="D139" i="14"/>
  <c r="E139" i="14"/>
  <c r="F139" i="14"/>
  <c r="G139" i="14"/>
  <c r="H139" i="14"/>
  <c r="I139" i="14"/>
  <c r="J139" i="14"/>
  <c r="K139" i="14"/>
  <c r="B140" i="14"/>
  <c r="C140" i="14"/>
  <c r="E140" i="14"/>
  <c r="F140" i="14"/>
  <c r="G140" i="14"/>
  <c r="H140" i="14"/>
  <c r="I140" i="14"/>
  <c r="J140" i="14"/>
  <c r="K140" i="14"/>
  <c r="B141" i="14"/>
  <c r="C141" i="14"/>
  <c r="E141" i="14"/>
  <c r="F141" i="14"/>
  <c r="G141" i="14"/>
  <c r="H141" i="14"/>
  <c r="I141" i="14"/>
  <c r="J141" i="14"/>
  <c r="K141" i="14"/>
  <c r="B142" i="14"/>
  <c r="C142" i="14"/>
  <c r="E142" i="14"/>
  <c r="F142" i="14"/>
  <c r="G142" i="14"/>
  <c r="H142" i="14"/>
  <c r="I142" i="14"/>
  <c r="J142" i="14"/>
  <c r="K142" i="14"/>
  <c r="B143" i="14"/>
  <c r="C143" i="14"/>
  <c r="E143" i="14"/>
  <c r="F143" i="14"/>
  <c r="G143" i="14"/>
  <c r="H143" i="14"/>
  <c r="I143" i="14"/>
  <c r="J143" i="14"/>
  <c r="K143" i="14"/>
  <c r="B144" i="14"/>
  <c r="D144" i="14"/>
  <c r="E144" i="14"/>
  <c r="F144" i="14"/>
  <c r="G144" i="14"/>
  <c r="H144" i="14"/>
  <c r="I144" i="14"/>
  <c r="J144" i="14"/>
  <c r="K144" i="14"/>
  <c r="B145" i="14"/>
  <c r="D145" i="14"/>
  <c r="E145" i="14"/>
  <c r="F145" i="14"/>
  <c r="G145" i="14"/>
  <c r="H145" i="14"/>
  <c r="I145" i="14"/>
  <c r="J145" i="14"/>
  <c r="K145" i="14"/>
  <c r="B146" i="14"/>
  <c r="D146" i="14"/>
  <c r="E146" i="14"/>
  <c r="F146" i="14"/>
  <c r="G146" i="14"/>
  <c r="H146" i="14"/>
  <c r="I146" i="14"/>
  <c r="J146" i="14"/>
  <c r="K146" i="14"/>
  <c r="B147" i="14"/>
  <c r="D147" i="14"/>
  <c r="E147" i="14"/>
  <c r="F147" i="14"/>
  <c r="G147" i="14"/>
  <c r="H147" i="14"/>
  <c r="I147" i="14"/>
  <c r="J147" i="14"/>
  <c r="K147" i="14"/>
  <c r="B148" i="14"/>
  <c r="D148" i="14"/>
  <c r="E148" i="14"/>
  <c r="F148" i="14"/>
  <c r="G148" i="14"/>
  <c r="H148" i="14"/>
  <c r="I148" i="14"/>
  <c r="J148" i="14"/>
  <c r="K148" i="14"/>
  <c r="B149" i="14"/>
  <c r="D149" i="14"/>
  <c r="E149" i="14"/>
  <c r="F149" i="14"/>
  <c r="G149" i="14"/>
  <c r="H149" i="14"/>
  <c r="I149" i="14"/>
  <c r="J149" i="14"/>
  <c r="K149" i="14"/>
  <c r="B150" i="14"/>
  <c r="D150" i="14"/>
  <c r="E150" i="14"/>
  <c r="F150" i="14"/>
  <c r="G150" i="14"/>
  <c r="H150" i="14"/>
  <c r="I150" i="14"/>
  <c r="J150" i="14"/>
  <c r="K150" i="14"/>
  <c r="B151" i="14"/>
  <c r="D151" i="14"/>
  <c r="E151" i="14"/>
  <c r="F151" i="14"/>
  <c r="G151" i="14"/>
  <c r="H151" i="14"/>
  <c r="I151" i="14"/>
  <c r="J151" i="14"/>
  <c r="K151" i="14"/>
  <c r="B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J153" i="14"/>
  <c r="K153" i="14"/>
  <c r="B154" i="14"/>
  <c r="C154" i="14"/>
  <c r="D154" i="14"/>
  <c r="E154" i="14"/>
  <c r="F154" i="14"/>
  <c r="G154" i="14"/>
  <c r="H154" i="14"/>
  <c r="J154" i="14"/>
  <c r="K154" i="14"/>
  <c r="B155" i="14"/>
  <c r="C155" i="14"/>
  <c r="D155" i="14"/>
  <c r="E155" i="14"/>
  <c r="F155" i="14"/>
  <c r="G155" i="14"/>
  <c r="H155" i="14"/>
  <c r="J155" i="14"/>
  <c r="K155" i="14"/>
  <c r="B156" i="14"/>
  <c r="D156" i="14"/>
  <c r="E156" i="14"/>
  <c r="F156" i="14"/>
  <c r="G156" i="14"/>
  <c r="H156" i="14"/>
  <c r="I156" i="14"/>
  <c r="J156" i="14"/>
  <c r="K156" i="14"/>
  <c r="B157" i="14"/>
  <c r="D157" i="14"/>
  <c r="E157" i="14"/>
  <c r="F157" i="14"/>
  <c r="G157" i="14"/>
  <c r="H157" i="14"/>
  <c r="I157" i="14"/>
  <c r="J157" i="14"/>
  <c r="K157" i="14"/>
  <c r="B158" i="14"/>
  <c r="D158" i="14"/>
  <c r="E158" i="14"/>
  <c r="F158" i="14"/>
  <c r="G158" i="14"/>
  <c r="H158" i="14"/>
  <c r="I158" i="14"/>
  <c r="J158" i="14"/>
  <c r="K158" i="14"/>
  <c r="B159" i="14"/>
  <c r="D159" i="14"/>
  <c r="E159" i="14"/>
  <c r="F159" i="14"/>
  <c r="G159" i="14"/>
  <c r="H159" i="14"/>
  <c r="I159" i="14"/>
  <c r="J159" i="14"/>
  <c r="K159" i="14"/>
  <c r="B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J161" i="14"/>
  <c r="K161" i="14"/>
  <c r="B162" i="14"/>
  <c r="C162" i="14"/>
  <c r="D162" i="14"/>
  <c r="E162" i="14"/>
  <c r="F162" i="14"/>
  <c r="G162" i="14"/>
  <c r="H162" i="14"/>
  <c r="J162" i="14"/>
  <c r="K162" i="14"/>
  <c r="C163" i="14"/>
  <c r="D163" i="14"/>
  <c r="E163" i="14"/>
  <c r="F163" i="14"/>
  <c r="G163" i="14"/>
  <c r="H163" i="14"/>
  <c r="I163" i="14"/>
  <c r="J163" i="14"/>
  <c r="K163" i="14"/>
  <c r="F165" i="14"/>
  <c r="H165" i="14"/>
  <c r="I165" i="14"/>
  <c r="J165" i="14"/>
  <c r="H166" i="14"/>
  <c r="J166" i="14"/>
  <c r="D179" i="14"/>
  <c r="F179" i="14"/>
  <c r="G179" i="14"/>
  <c r="H179" i="14"/>
  <c r="I179" i="14"/>
  <c r="J179" i="14"/>
  <c r="D180" i="14"/>
  <c r="G180" i="14"/>
  <c r="H180" i="14"/>
  <c r="I180" i="14"/>
  <c r="J180" i="14"/>
  <c r="E181" i="14"/>
  <c r="F181" i="14"/>
  <c r="H181" i="14"/>
  <c r="J181" i="14"/>
  <c r="K181" i="14"/>
  <c r="B182" i="14"/>
  <c r="E182" i="14"/>
  <c r="F182" i="14"/>
  <c r="G182" i="14"/>
  <c r="H182" i="14"/>
  <c r="I182" i="14"/>
  <c r="J182" i="14"/>
  <c r="K182" i="14"/>
  <c r="B183" i="14"/>
  <c r="D183" i="14"/>
  <c r="F183" i="14"/>
  <c r="G183" i="14"/>
  <c r="H183" i="14"/>
  <c r="I183" i="14"/>
  <c r="J183" i="14"/>
  <c r="K183" i="14"/>
  <c r="C184" i="14"/>
  <c r="D184" i="14"/>
  <c r="E184" i="14"/>
  <c r="G184" i="14"/>
  <c r="H184" i="14"/>
  <c r="J184" i="14"/>
  <c r="K184" i="14"/>
  <c r="B185" i="14"/>
  <c r="D185" i="14"/>
  <c r="E185" i="14"/>
  <c r="G185" i="14"/>
  <c r="H185" i="14"/>
  <c r="I185" i="14"/>
  <c r="J185" i="14"/>
  <c r="C186" i="14"/>
  <c r="E186" i="14"/>
  <c r="F186" i="14"/>
  <c r="G186" i="14"/>
  <c r="H186" i="14"/>
  <c r="I186" i="14"/>
  <c r="J186" i="14"/>
  <c r="D187" i="14"/>
  <c r="E187" i="14"/>
  <c r="F187" i="14"/>
  <c r="G187" i="14"/>
  <c r="H187" i="14"/>
  <c r="J187" i="14"/>
  <c r="K187" i="14"/>
  <c r="B188" i="14"/>
  <c r="C188" i="14"/>
  <c r="E188" i="14"/>
  <c r="F188" i="14"/>
  <c r="G188" i="14"/>
  <c r="H188" i="14"/>
  <c r="I188" i="14"/>
  <c r="J188" i="14"/>
  <c r="K188" i="14"/>
  <c r="C189" i="14"/>
  <c r="D189" i="14"/>
  <c r="E189" i="14"/>
  <c r="F189" i="14"/>
  <c r="G189" i="14"/>
  <c r="H189" i="14"/>
  <c r="I189" i="14"/>
  <c r="J189" i="14"/>
  <c r="K189" i="14"/>
  <c r="B190" i="14"/>
  <c r="C190" i="14"/>
  <c r="E190" i="14"/>
  <c r="F190" i="14"/>
  <c r="G190" i="14"/>
  <c r="H190" i="14"/>
  <c r="I190" i="14"/>
  <c r="J190" i="14"/>
  <c r="K190" i="14"/>
  <c r="B191" i="14"/>
  <c r="C191" i="14"/>
  <c r="D191" i="14"/>
  <c r="E191" i="14"/>
  <c r="F191" i="14"/>
  <c r="H191" i="14"/>
  <c r="I191" i="14"/>
  <c r="J191" i="14"/>
  <c r="K191" i="14"/>
  <c r="B192" i="14"/>
  <c r="C192" i="14"/>
  <c r="E192" i="14"/>
  <c r="F192" i="14"/>
  <c r="G192" i="14"/>
  <c r="H192" i="14"/>
  <c r="I192" i="14"/>
  <c r="J192" i="14"/>
  <c r="K192" i="14"/>
  <c r="B193" i="14"/>
  <c r="C193" i="14"/>
  <c r="E193" i="14"/>
  <c r="F193" i="14"/>
  <c r="G193" i="14"/>
  <c r="H193" i="14"/>
  <c r="I193" i="14"/>
  <c r="J193" i="14"/>
  <c r="K193" i="14"/>
  <c r="C194" i="14"/>
  <c r="D194" i="14"/>
  <c r="E194" i="14"/>
  <c r="F194" i="14"/>
  <c r="G194" i="14"/>
  <c r="H194" i="14"/>
  <c r="I194" i="14"/>
  <c r="J194" i="14"/>
  <c r="K194" i="14"/>
  <c r="B195" i="14"/>
  <c r="C195" i="14"/>
  <c r="E195" i="14"/>
  <c r="F195" i="14"/>
  <c r="G195" i="14"/>
  <c r="H195" i="14"/>
  <c r="I195" i="14"/>
  <c r="J195" i="14"/>
  <c r="K195" i="14"/>
  <c r="B196" i="14"/>
  <c r="C196" i="14"/>
  <c r="E196" i="14"/>
  <c r="F196" i="14"/>
  <c r="G196" i="14"/>
  <c r="H196" i="14"/>
  <c r="I196" i="14"/>
  <c r="J196" i="14"/>
  <c r="K196" i="14"/>
  <c r="B197" i="14"/>
  <c r="C197" i="14"/>
  <c r="E197" i="14"/>
  <c r="F197" i="14"/>
  <c r="G197" i="14"/>
  <c r="H197" i="14"/>
  <c r="I197" i="14"/>
  <c r="J197" i="14"/>
  <c r="K197" i="14"/>
  <c r="B198" i="14"/>
  <c r="C198" i="14"/>
  <c r="E198" i="14"/>
  <c r="F198" i="14"/>
  <c r="G198" i="14"/>
  <c r="H198" i="14"/>
  <c r="I198" i="14"/>
  <c r="J198" i="14"/>
  <c r="K198" i="14"/>
  <c r="B199" i="14"/>
  <c r="D199" i="14"/>
  <c r="E199" i="14"/>
  <c r="F199" i="14"/>
  <c r="G199" i="14"/>
  <c r="H199" i="14"/>
  <c r="I199" i="14"/>
  <c r="J199" i="14"/>
  <c r="K199" i="14"/>
  <c r="B200" i="14"/>
  <c r="D200" i="14"/>
  <c r="E200" i="14"/>
  <c r="F200" i="14"/>
  <c r="G200" i="14"/>
  <c r="H200" i="14"/>
  <c r="I200" i="14"/>
  <c r="J200" i="14"/>
  <c r="K200" i="14"/>
  <c r="B201" i="14"/>
  <c r="D201" i="14"/>
  <c r="E201" i="14"/>
  <c r="F201" i="14"/>
  <c r="G201" i="14"/>
  <c r="H201" i="14"/>
  <c r="I201" i="14"/>
  <c r="J201" i="14"/>
  <c r="K201" i="14"/>
  <c r="B202" i="14"/>
  <c r="D202" i="14"/>
  <c r="E202" i="14"/>
  <c r="F202" i="14"/>
  <c r="G202" i="14"/>
  <c r="H202" i="14"/>
  <c r="I202" i="14"/>
  <c r="J202" i="14"/>
  <c r="K202" i="14"/>
  <c r="B203" i="14"/>
  <c r="D203" i="14"/>
  <c r="E203" i="14"/>
  <c r="F203" i="14"/>
  <c r="G203" i="14"/>
  <c r="H203" i="14"/>
  <c r="I203" i="14"/>
  <c r="J203" i="14"/>
  <c r="K203" i="14"/>
  <c r="B204" i="14"/>
  <c r="D204" i="14"/>
  <c r="E204" i="14"/>
  <c r="F204" i="14"/>
  <c r="G204" i="14"/>
  <c r="H204" i="14"/>
  <c r="I204" i="14"/>
  <c r="J204" i="14"/>
  <c r="K204" i="14"/>
  <c r="B205" i="14"/>
  <c r="D205" i="14"/>
  <c r="E205" i="14"/>
  <c r="F205" i="14"/>
  <c r="G205" i="14"/>
  <c r="H205" i="14"/>
  <c r="I205" i="14"/>
  <c r="J205" i="14"/>
  <c r="K205" i="14"/>
  <c r="B206" i="14"/>
  <c r="D206" i="14"/>
  <c r="E206" i="14"/>
  <c r="F206" i="14"/>
  <c r="G206" i="14"/>
  <c r="H206" i="14"/>
  <c r="I206" i="14"/>
  <c r="J206" i="14"/>
  <c r="K206" i="14"/>
  <c r="B207" i="14"/>
  <c r="D207" i="14"/>
  <c r="E207" i="14"/>
  <c r="F207" i="14"/>
  <c r="G207" i="14"/>
  <c r="H207" i="14"/>
  <c r="I207" i="14"/>
  <c r="J207" i="14"/>
  <c r="K207" i="14"/>
  <c r="B208" i="14"/>
  <c r="C208" i="14"/>
  <c r="D208" i="14"/>
  <c r="E208" i="14"/>
  <c r="F208" i="14"/>
  <c r="G208" i="14"/>
  <c r="H208" i="14"/>
  <c r="J208" i="14"/>
  <c r="K208" i="14"/>
  <c r="B209" i="14"/>
  <c r="C209" i="14"/>
  <c r="D209" i="14"/>
  <c r="E209" i="14"/>
  <c r="F209" i="14"/>
  <c r="G209" i="14"/>
  <c r="H209" i="14"/>
  <c r="J209" i="14"/>
  <c r="K209" i="14"/>
  <c r="B210" i="14"/>
  <c r="C210" i="14"/>
  <c r="D210" i="14"/>
  <c r="E210" i="14"/>
  <c r="F210" i="14"/>
  <c r="G210" i="14"/>
  <c r="H210" i="14"/>
  <c r="J210" i="14"/>
  <c r="K210" i="14"/>
  <c r="B211" i="14"/>
  <c r="D211" i="14"/>
  <c r="E211" i="14"/>
  <c r="F211" i="14"/>
  <c r="G211" i="14"/>
  <c r="H211" i="14"/>
  <c r="I211" i="14"/>
  <c r="J211" i="14"/>
  <c r="K211" i="14"/>
  <c r="B212" i="14"/>
  <c r="D212" i="14"/>
  <c r="E212" i="14"/>
  <c r="F212" i="14"/>
  <c r="G212" i="14"/>
  <c r="H212" i="14"/>
  <c r="I212" i="14"/>
  <c r="J212" i="14"/>
  <c r="K212" i="14"/>
  <c r="B213" i="14"/>
  <c r="D213" i="14"/>
  <c r="E213" i="14"/>
  <c r="F213" i="14"/>
  <c r="G213" i="14"/>
  <c r="H213" i="14"/>
  <c r="I213" i="14"/>
  <c r="J213" i="14"/>
  <c r="K213" i="14"/>
  <c r="B214" i="14"/>
  <c r="D214" i="14"/>
  <c r="E214" i="14"/>
  <c r="F214" i="14"/>
  <c r="G214" i="14"/>
  <c r="H214" i="14"/>
  <c r="I214" i="14"/>
  <c r="J214" i="14"/>
  <c r="K214" i="14"/>
  <c r="B215" i="14"/>
  <c r="D215" i="14"/>
  <c r="E215" i="14"/>
  <c r="F215" i="14"/>
  <c r="G215" i="14"/>
  <c r="H215" i="14"/>
  <c r="I215" i="14"/>
  <c r="J215" i="14"/>
  <c r="K215" i="14"/>
  <c r="B216" i="14"/>
  <c r="C216" i="14"/>
  <c r="D216" i="14"/>
  <c r="E216" i="14"/>
  <c r="F216" i="14"/>
  <c r="G216" i="14"/>
  <c r="H216" i="14"/>
  <c r="J216" i="14"/>
  <c r="K216" i="14"/>
  <c r="B217" i="14"/>
  <c r="C217" i="14"/>
  <c r="D217" i="14"/>
  <c r="E217" i="14"/>
  <c r="F217" i="14"/>
  <c r="G217" i="14"/>
  <c r="H217" i="14"/>
  <c r="J217" i="14"/>
  <c r="K217" i="14"/>
  <c r="C218" i="14"/>
  <c r="D218" i="14"/>
  <c r="E218" i="14"/>
  <c r="F218" i="14"/>
  <c r="G218" i="14"/>
  <c r="H218" i="14"/>
  <c r="I218" i="14"/>
  <c r="J218" i="14"/>
  <c r="K218" i="14"/>
  <c r="F220" i="14"/>
  <c r="H220" i="14"/>
  <c r="I220" i="14"/>
  <c r="J220" i="14"/>
  <c r="H221" i="14"/>
  <c r="J221" i="14"/>
  <c r="D234" i="14"/>
  <c r="F234" i="14"/>
  <c r="G234" i="14"/>
  <c r="H234" i="14"/>
  <c r="I234" i="14"/>
  <c r="J234" i="14"/>
  <c r="D235" i="14"/>
  <c r="G235" i="14"/>
  <c r="H235" i="14"/>
  <c r="I235" i="14"/>
  <c r="J235" i="14"/>
  <c r="E236" i="14"/>
  <c r="F236" i="14"/>
  <c r="H236" i="14"/>
  <c r="J236" i="14"/>
  <c r="K236" i="14"/>
  <c r="B237" i="14"/>
  <c r="E237" i="14"/>
  <c r="F237" i="14"/>
  <c r="G237" i="14"/>
  <c r="H237" i="14"/>
  <c r="I237" i="14"/>
  <c r="J237" i="14"/>
  <c r="K237" i="14"/>
  <c r="B238" i="14"/>
  <c r="D238" i="14"/>
  <c r="F238" i="14"/>
  <c r="G238" i="14"/>
  <c r="H238" i="14"/>
  <c r="I238" i="14"/>
  <c r="J238" i="14"/>
  <c r="K238" i="14"/>
  <c r="C239" i="14"/>
  <c r="D239" i="14"/>
  <c r="E239" i="14"/>
  <c r="G239" i="14"/>
  <c r="H239" i="14"/>
  <c r="J239" i="14"/>
  <c r="K239" i="14"/>
  <c r="B240" i="14"/>
  <c r="D240" i="14"/>
  <c r="E240" i="14"/>
  <c r="G240" i="14"/>
  <c r="H240" i="14"/>
  <c r="I240" i="14"/>
  <c r="J240" i="14"/>
  <c r="C241" i="14"/>
  <c r="E241" i="14"/>
  <c r="F241" i="14"/>
  <c r="G241" i="14"/>
  <c r="H241" i="14"/>
  <c r="I241" i="14"/>
  <c r="J241" i="14"/>
  <c r="D242" i="14"/>
  <c r="E242" i="14"/>
  <c r="F242" i="14"/>
  <c r="G242" i="14"/>
  <c r="H242" i="14"/>
  <c r="J242" i="14"/>
  <c r="K242" i="14"/>
  <c r="B243" i="14"/>
  <c r="C243" i="14"/>
  <c r="E243" i="14"/>
  <c r="F243" i="14"/>
  <c r="G243" i="14"/>
  <c r="H243" i="14"/>
  <c r="I243" i="14"/>
  <c r="J243" i="14"/>
  <c r="K243" i="14"/>
  <c r="C244" i="14"/>
  <c r="D244" i="14"/>
  <c r="E244" i="14"/>
  <c r="F244" i="14"/>
  <c r="G244" i="14"/>
  <c r="H244" i="14"/>
  <c r="I244" i="14"/>
  <c r="J244" i="14"/>
  <c r="K244" i="14"/>
  <c r="B245" i="14"/>
  <c r="C245" i="14"/>
  <c r="E245" i="14"/>
  <c r="F245" i="14"/>
  <c r="G245" i="14"/>
  <c r="H245" i="14"/>
  <c r="I245" i="14"/>
  <c r="J245" i="14"/>
  <c r="K245" i="14"/>
  <c r="B246" i="14"/>
  <c r="C246" i="14"/>
  <c r="D246" i="14"/>
  <c r="E246" i="14"/>
  <c r="F246" i="14"/>
  <c r="H246" i="14"/>
  <c r="I246" i="14"/>
  <c r="J246" i="14"/>
  <c r="K246" i="14"/>
  <c r="B247" i="14"/>
  <c r="C247" i="14"/>
  <c r="E247" i="14"/>
  <c r="F247" i="14"/>
  <c r="G247" i="14"/>
  <c r="H247" i="14"/>
  <c r="I247" i="14"/>
  <c r="J247" i="14"/>
  <c r="K247" i="14"/>
  <c r="B248" i="14"/>
  <c r="C248" i="14"/>
  <c r="E248" i="14"/>
  <c r="F248" i="14"/>
  <c r="G248" i="14"/>
  <c r="H248" i="14"/>
  <c r="I248" i="14"/>
  <c r="J248" i="14"/>
  <c r="K248" i="14"/>
  <c r="C249" i="14"/>
  <c r="D249" i="14"/>
  <c r="E249" i="14"/>
  <c r="F249" i="14"/>
  <c r="G249" i="14"/>
  <c r="H249" i="14"/>
  <c r="I249" i="14"/>
  <c r="J249" i="14"/>
  <c r="K249" i="14"/>
  <c r="B250" i="14"/>
  <c r="C250" i="14"/>
  <c r="E250" i="14"/>
  <c r="F250" i="14"/>
  <c r="G250" i="14"/>
  <c r="H250" i="14"/>
  <c r="I250" i="14"/>
  <c r="J250" i="14"/>
  <c r="K250" i="14"/>
  <c r="B251" i="14"/>
  <c r="C251" i="14"/>
  <c r="E251" i="14"/>
  <c r="F251" i="14"/>
  <c r="G251" i="14"/>
  <c r="H251" i="14"/>
  <c r="I251" i="14"/>
  <c r="J251" i="14"/>
  <c r="K251" i="14"/>
  <c r="B252" i="14"/>
  <c r="C252" i="14"/>
  <c r="E252" i="14"/>
  <c r="F252" i="14"/>
  <c r="G252" i="14"/>
  <c r="H252" i="14"/>
  <c r="I252" i="14"/>
  <c r="J252" i="14"/>
  <c r="K252" i="14"/>
  <c r="B253" i="14"/>
  <c r="C253" i="14"/>
  <c r="E253" i="14"/>
  <c r="F253" i="14"/>
  <c r="G253" i="14"/>
  <c r="H253" i="14"/>
  <c r="I253" i="14"/>
  <c r="J253" i="14"/>
  <c r="K253" i="14"/>
  <c r="B254" i="14"/>
  <c r="D254" i="14"/>
  <c r="E254" i="14"/>
  <c r="F254" i="14"/>
  <c r="G254" i="14"/>
  <c r="H254" i="14"/>
  <c r="I254" i="14"/>
  <c r="J254" i="14"/>
  <c r="K254" i="14"/>
  <c r="B255" i="14"/>
  <c r="D255" i="14"/>
  <c r="E255" i="14"/>
  <c r="F255" i="14"/>
  <c r="G255" i="14"/>
  <c r="H255" i="14"/>
  <c r="I255" i="14"/>
  <c r="J255" i="14"/>
  <c r="K255" i="14"/>
  <c r="B256" i="14"/>
  <c r="D256" i="14"/>
  <c r="E256" i="14"/>
  <c r="F256" i="14"/>
  <c r="G256" i="14"/>
  <c r="H256" i="14"/>
  <c r="I256" i="14"/>
  <c r="J256" i="14"/>
  <c r="K256" i="14"/>
  <c r="B257" i="14"/>
  <c r="D257" i="14"/>
  <c r="E257" i="14"/>
  <c r="F257" i="14"/>
  <c r="G257" i="14"/>
  <c r="H257" i="14"/>
  <c r="I257" i="14"/>
  <c r="J257" i="14"/>
  <c r="K257" i="14"/>
  <c r="B258" i="14"/>
  <c r="D258" i="14"/>
  <c r="E258" i="14"/>
  <c r="F258" i="14"/>
  <c r="G258" i="14"/>
  <c r="H258" i="14"/>
  <c r="I258" i="14"/>
  <c r="J258" i="14"/>
  <c r="K258" i="14"/>
  <c r="B259" i="14"/>
  <c r="D259" i="14"/>
  <c r="E259" i="14"/>
  <c r="F259" i="14"/>
  <c r="G259" i="14"/>
  <c r="H259" i="14"/>
  <c r="I259" i="14"/>
  <c r="J259" i="14"/>
  <c r="K259" i="14"/>
  <c r="B260" i="14"/>
  <c r="D260" i="14"/>
  <c r="E260" i="14"/>
  <c r="F260" i="14"/>
  <c r="G260" i="14"/>
  <c r="H260" i="14"/>
  <c r="I260" i="14"/>
  <c r="J260" i="14"/>
  <c r="K260" i="14"/>
  <c r="B261" i="14"/>
  <c r="D261" i="14"/>
  <c r="E261" i="14"/>
  <c r="F261" i="14"/>
  <c r="G261" i="14"/>
  <c r="H261" i="14"/>
  <c r="I261" i="14"/>
  <c r="J261" i="14"/>
  <c r="K261" i="14"/>
  <c r="B262" i="14"/>
  <c r="D262" i="14"/>
  <c r="E262" i="14"/>
  <c r="F262" i="14"/>
  <c r="G262" i="14"/>
  <c r="H262" i="14"/>
  <c r="I262" i="14"/>
  <c r="J262" i="14"/>
  <c r="K262" i="14"/>
  <c r="B263" i="14"/>
  <c r="C263" i="14"/>
  <c r="D263" i="14"/>
  <c r="E263" i="14"/>
  <c r="F263" i="14"/>
  <c r="G263" i="14"/>
  <c r="H263" i="14"/>
  <c r="J263" i="14"/>
  <c r="K263" i="14"/>
  <c r="B264" i="14"/>
  <c r="C264" i="14"/>
  <c r="D264" i="14"/>
  <c r="E264" i="14"/>
  <c r="F264" i="14"/>
  <c r="G264" i="14"/>
  <c r="H264" i="14"/>
  <c r="J264" i="14"/>
  <c r="K264" i="14"/>
  <c r="B265" i="14"/>
  <c r="C265" i="14"/>
  <c r="D265" i="14"/>
  <c r="E265" i="14"/>
  <c r="F265" i="14"/>
  <c r="G265" i="14"/>
  <c r="H265" i="14"/>
  <c r="J265" i="14"/>
  <c r="K265" i="14"/>
  <c r="B266" i="14"/>
  <c r="D266" i="14"/>
  <c r="E266" i="14"/>
  <c r="F266" i="14"/>
  <c r="G266" i="14"/>
  <c r="H266" i="14"/>
  <c r="I266" i="14"/>
  <c r="J266" i="14"/>
  <c r="K266" i="14"/>
  <c r="B267" i="14"/>
  <c r="D267" i="14"/>
  <c r="E267" i="14"/>
  <c r="F267" i="14"/>
  <c r="G267" i="14"/>
  <c r="H267" i="14"/>
  <c r="I267" i="14"/>
  <c r="J267" i="14"/>
  <c r="K267" i="14"/>
  <c r="B268" i="14"/>
  <c r="D268" i="14"/>
  <c r="E268" i="14"/>
  <c r="F268" i="14"/>
  <c r="G268" i="14"/>
  <c r="H268" i="14"/>
  <c r="I268" i="14"/>
  <c r="J268" i="14"/>
  <c r="K268" i="14"/>
  <c r="B269" i="14"/>
  <c r="D269" i="14"/>
  <c r="E269" i="14"/>
  <c r="F269" i="14"/>
  <c r="G269" i="14"/>
  <c r="H269" i="14"/>
  <c r="I269" i="14"/>
  <c r="J269" i="14"/>
  <c r="K269" i="14"/>
  <c r="B270" i="14"/>
  <c r="D270" i="14"/>
  <c r="E270" i="14"/>
  <c r="F270" i="14"/>
  <c r="G270" i="14"/>
  <c r="H270" i="14"/>
  <c r="I270" i="14"/>
  <c r="J270" i="14"/>
  <c r="K270" i="14"/>
  <c r="B271" i="14"/>
  <c r="C271" i="14"/>
  <c r="D271" i="14"/>
  <c r="E271" i="14"/>
  <c r="F271" i="14"/>
  <c r="G271" i="14"/>
  <c r="H271" i="14"/>
  <c r="J271" i="14"/>
  <c r="K271" i="14"/>
  <c r="B272" i="14"/>
  <c r="C272" i="14"/>
  <c r="D272" i="14"/>
  <c r="E272" i="14"/>
  <c r="F272" i="14"/>
  <c r="G272" i="14"/>
  <c r="H272" i="14"/>
  <c r="J272" i="14"/>
  <c r="K272" i="14"/>
  <c r="C273" i="14"/>
  <c r="D273" i="14"/>
  <c r="E273" i="14"/>
  <c r="F273" i="14"/>
  <c r="G273" i="14"/>
  <c r="H273" i="14"/>
  <c r="I273" i="14"/>
  <c r="J273" i="14"/>
  <c r="K273" i="14"/>
  <c r="F275" i="14"/>
  <c r="H275" i="14"/>
  <c r="I275" i="14"/>
  <c r="J275" i="14"/>
  <c r="H276" i="14"/>
  <c r="J276" i="14"/>
  <c r="H332" i="14"/>
  <c r="J332" i="14"/>
  <c r="J1" i="19"/>
  <c r="F2" i="19"/>
  <c r="F3" i="19"/>
  <c r="F4" i="19"/>
  <c r="A14" i="19"/>
  <c r="B14" i="19"/>
  <c r="A15" i="19"/>
  <c r="B15" i="19"/>
  <c r="C15" i="19"/>
  <c r="J15" i="19"/>
  <c r="A16" i="19"/>
  <c r="B16" i="19"/>
  <c r="C16" i="19"/>
  <c r="H16" i="19"/>
  <c r="J16" i="19"/>
  <c r="A17" i="19"/>
  <c r="B17" i="19"/>
  <c r="C17" i="19"/>
  <c r="H17" i="19"/>
  <c r="J17" i="19"/>
  <c r="A18" i="19"/>
  <c r="B18" i="19"/>
  <c r="C18" i="19"/>
  <c r="H18" i="19"/>
  <c r="J18" i="19"/>
  <c r="A19" i="19"/>
  <c r="B19" i="19"/>
  <c r="C19" i="19"/>
  <c r="H19" i="19"/>
  <c r="J19" i="19"/>
  <c r="A20" i="19"/>
  <c r="B20" i="19"/>
  <c r="C20" i="19"/>
  <c r="H20" i="19"/>
  <c r="J20" i="19"/>
  <c r="A21" i="19"/>
  <c r="B21" i="19"/>
  <c r="C21" i="19"/>
  <c r="H21" i="19"/>
  <c r="J21" i="19"/>
  <c r="A22" i="19"/>
  <c r="B22" i="19"/>
  <c r="C22" i="19"/>
  <c r="H22" i="19"/>
  <c r="J22" i="19"/>
  <c r="A23" i="19"/>
  <c r="B23" i="19"/>
  <c r="C23" i="19"/>
  <c r="H23" i="19"/>
  <c r="J23" i="19"/>
  <c r="A24" i="19"/>
  <c r="B24" i="19"/>
  <c r="C24" i="19"/>
  <c r="H24" i="19"/>
  <c r="J24" i="19"/>
  <c r="A25" i="19"/>
  <c r="B25" i="19"/>
  <c r="C25" i="19"/>
  <c r="H25" i="19"/>
  <c r="J25" i="19"/>
  <c r="A26" i="19"/>
  <c r="B26" i="19"/>
  <c r="C26" i="19"/>
  <c r="H26" i="19"/>
  <c r="J26" i="19"/>
  <c r="A27" i="19"/>
  <c r="B27" i="19"/>
  <c r="C27" i="19"/>
  <c r="H27" i="19"/>
  <c r="J27" i="19"/>
  <c r="A28" i="19"/>
  <c r="B28" i="19"/>
  <c r="C28" i="19"/>
  <c r="H28" i="19"/>
  <c r="J28" i="19"/>
  <c r="A29" i="19"/>
  <c r="B29" i="19"/>
  <c r="C29" i="19"/>
  <c r="H29" i="19"/>
  <c r="J29" i="19"/>
  <c r="A30" i="19"/>
  <c r="B30" i="19"/>
  <c r="C30" i="19"/>
  <c r="H30" i="19"/>
  <c r="J30" i="19"/>
  <c r="A31" i="19"/>
  <c r="B31" i="19"/>
  <c r="C31" i="19"/>
  <c r="H31" i="19"/>
  <c r="J31" i="19"/>
  <c r="A32" i="19"/>
  <c r="B32" i="19"/>
  <c r="C32" i="19"/>
  <c r="H32" i="19"/>
  <c r="J32" i="19"/>
  <c r="A33" i="19"/>
  <c r="B33" i="19"/>
  <c r="C33" i="19"/>
  <c r="H33" i="19"/>
  <c r="J33" i="19"/>
  <c r="A34" i="19"/>
  <c r="B34" i="19"/>
  <c r="C34" i="19"/>
  <c r="H34" i="19"/>
  <c r="J34" i="19"/>
  <c r="A35" i="19"/>
  <c r="B35" i="19"/>
  <c r="C35" i="19"/>
  <c r="H35" i="19"/>
  <c r="J35" i="19"/>
  <c r="A36" i="19"/>
  <c r="B36" i="19"/>
  <c r="C36" i="19"/>
  <c r="H36" i="19"/>
  <c r="J36" i="19"/>
  <c r="A37" i="19"/>
  <c r="B37" i="19"/>
  <c r="C37" i="19"/>
  <c r="H37" i="19"/>
  <c r="J37" i="19"/>
  <c r="A38" i="19"/>
  <c r="B38" i="19"/>
  <c r="C38" i="19"/>
  <c r="H38" i="19"/>
  <c r="J38" i="19"/>
  <c r="A39" i="19"/>
  <c r="B39" i="19"/>
  <c r="C39" i="19"/>
  <c r="H39" i="19"/>
  <c r="J39" i="19"/>
  <c r="A40" i="19"/>
  <c r="B40" i="19"/>
  <c r="C40" i="19"/>
  <c r="H40" i="19"/>
  <c r="J40" i="19"/>
  <c r="A41" i="19"/>
  <c r="B41" i="19"/>
  <c r="C41" i="19"/>
  <c r="H41" i="19"/>
  <c r="J41" i="19"/>
  <c r="A42" i="19"/>
  <c r="B42" i="19"/>
  <c r="C42" i="19"/>
  <c r="H42" i="19"/>
  <c r="J42" i="19"/>
  <c r="A43" i="19"/>
  <c r="B43" i="19"/>
  <c r="C43" i="19"/>
  <c r="H43" i="19"/>
  <c r="J43" i="19"/>
  <c r="A44" i="19"/>
  <c r="B44" i="19"/>
  <c r="C44" i="19"/>
  <c r="H44" i="19"/>
  <c r="J44" i="19"/>
  <c r="A45" i="19"/>
  <c r="B45" i="19"/>
  <c r="C45" i="19"/>
  <c r="H45" i="19"/>
  <c r="J45" i="19"/>
  <c r="A46" i="19"/>
  <c r="B46" i="19"/>
  <c r="C46" i="19"/>
  <c r="H46" i="19"/>
  <c r="J46" i="19"/>
  <c r="A47" i="19"/>
  <c r="B47" i="19"/>
  <c r="C47" i="19"/>
  <c r="H47" i="19"/>
  <c r="J47" i="19"/>
  <c r="A48" i="19"/>
  <c r="B48" i="19"/>
  <c r="C48" i="19"/>
  <c r="H48" i="19"/>
  <c r="J48" i="19"/>
  <c r="A49" i="19"/>
  <c r="B49" i="19"/>
  <c r="C49" i="19"/>
  <c r="H49" i="19"/>
  <c r="J49" i="19"/>
  <c r="A50" i="19"/>
  <c r="B50" i="19"/>
  <c r="C50" i="19"/>
  <c r="H50" i="19"/>
  <c r="J50" i="19"/>
  <c r="A51" i="19"/>
  <c r="B51" i="19"/>
  <c r="C51" i="19"/>
  <c r="H51" i="19"/>
  <c r="J51" i="19"/>
  <c r="A52" i="19"/>
  <c r="B52" i="19"/>
  <c r="C52" i="19"/>
  <c r="H52" i="19"/>
  <c r="J52" i="19"/>
  <c r="A53" i="19"/>
  <c r="B53" i="19"/>
  <c r="C53" i="19"/>
  <c r="H53" i="19"/>
  <c r="J53" i="19"/>
  <c r="B55" i="19"/>
  <c r="B56" i="19"/>
  <c r="B57" i="19"/>
  <c r="B60" i="19"/>
  <c r="B61" i="19"/>
  <c r="B62" i="19"/>
  <c r="B63" i="19"/>
  <c r="P2" i="13"/>
  <c r="A3" i="13"/>
  <c r="D10" i="13"/>
  <c r="D11" i="13"/>
  <c r="K12" i="13"/>
  <c r="K14" i="13"/>
  <c r="N437" i="13" s="1"/>
  <c r="R21" i="13"/>
  <c r="T21" i="13"/>
  <c r="S22" i="13"/>
  <c r="T22" i="13"/>
  <c r="U22" i="13"/>
  <c r="U23" i="13" s="1"/>
  <c r="K81" i="13"/>
  <c r="K82" i="13"/>
  <c r="L82" i="13"/>
  <c r="N82" i="13"/>
  <c r="K153" i="13"/>
  <c r="P153" i="13"/>
  <c r="K154" i="13"/>
  <c r="L154" i="13"/>
  <c r="N154" i="13"/>
  <c r="P154" i="13"/>
  <c r="P155" i="13"/>
  <c r="K225" i="13"/>
  <c r="P225" i="13"/>
  <c r="K226" i="13"/>
  <c r="L226" i="13"/>
  <c r="N226" i="13"/>
  <c r="P226" i="13"/>
  <c r="P227" i="13"/>
  <c r="K297" i="13"/>
  <c r="P297" i="13"/>
  <c r="K298" i="13"/>
  <c r="L298" i="13"/>
  <c r="N298" i="13"/>
  <c r="P298" i="13"/>
  <c r="P299" i="13"/>
  <c r="P369" i="13"/>
  <c r="P370" i="13"/>
  <c r="P371" i="13"/>
  <c r="C419" i="13"/>
  <c r="F420" i="13"/>
  <c r="F422" i="13"/>
  <c r="H428" i="13"/>
  <c r="I428" i="13"/>
  <c r="K428" i="13"/>
  <c r="L428" i="13"/>
  <c r="N428" i="13"/>
  <c r="O428" i="13"/>
  <c r="P428" i="13"/>
  <c r="Q428" i="13"/>
  <c r="R428" i="13"/>
  <c r="S428" i="13"/>
  <c r="T428" i="13"/>
  <c r="U428" i="13"/>
  <c r="H429" i="13"/>
  <c r="I429" i="13"/>
  <c r="K429" i="13"/>
  <c r="L429" i="13"/>
  <c r="N429" i="13"/>
  <c r="O429" i="13"/>
  <c r="P429" i="13"/>
  <c r="Q429" i="13"/>
  <c r="R429" i="13"/>
  <c r="S429" i="13"/>
  <c r="T429" i="13"/>
  <c r="U429" i="13"/>
  <c r="H430" i="13"/>
  <c r="I430" i="13"/>
  <c r="K430" i="13"/>
  <c r="L430" i="13"/>
  <c r="N430" i="13"/>
  <c r="O430" i="13"/>
  <c r="P430" i="13"/>
  <c r="Q430" i="13"/>
  <c r="R430" i="13"/>
  <c r="S430" i="13"/>
  <c r="T430" i="13"/>
  <c r="U430" i="13"/>
  <c r="H431" i="13"/>
  <c r="I431" i="13"/>
  <c r="K431" i="13"/>
  <c r="L431" i="13"/>
  <c r="N431" i="13"/>
  <c r="O431" i="13"/>
  <c r="P431" i="13"/>
  <c r="Q431" i="13"/>
  <c r="R431" i="13"/>
  <c r="S431" i="13"/>
  <c r="T431" i="13"/>
  <c r="U431" i="13"/>
  <c r="H432" i="13"/>
  <c r="K432" i="13"/>
  <c r="L432" i="13"/>
  <c r="N432" i="13"/>
  <c r="O432" i="13"/>
  <c r="P432" i="13"/>
  <c r="Q432" i="13"/>
  <c r="R432" i="13"/>
  <c r="S432" i="13"/>
  <c r="T432" i="13"/>
  <c r="U432" i="13"/>
  <c r="H433" i="13"/>
  <c r="I433" i="13"/>
  <c r="K433" i="13"/>
  <c r="L433" i="13"/>
  <c r="N433" i="13"/>
  <c r="O433" i="13"/>
  <c r="P433" i="13"/>
  <c r="Q433" i="13"/>
  <c r="R433" i="13"/>
  <c r="S433" i="13"/>
  <c r="T433" i="13"/>
  <c r="U433" i="13"/>
  <c r="H434" i="13"/>
  <c r="I434" i="13"/>
  <c r="K434" i="13"/>
  <c r="L434" i="13"/>
  <c r="N434" i="13"/>
  <c r="O434" i="13"/>
  <c r="P434" i="13"/>
  <c r="Q434" i="13"/>
  <c r="R434" i="13"/>
  <c r="S434" i="13"/>
  <c r="T434" i="13"/>
  <c r="U434" i="13"/>
  <c r="AE2" i="1"/>
  <c r="P3" i="13" s="1"/>
  <c r="AF22" i="1"/>
  <c r="AH22" i="1"/>
  <c r="AM22" i="1"/>
  <c r="AO22" i="1"/>
  <c r="AG23" i="1"/>
  <c r="AH23" i="1"/>
  <c r="AN23" i="1"/>
  <c r="AO23" i="1"/>
  <c r="AP23" i="1"/>
  <c r="AP24" i="1" s="1"/>
  <c r="R64" i="1"/>
  <c r="L77" i="1"/>
  <c r="L78" i="1"/>
  <c r="M78" i="1"/>
  <c r="A73" i="14"/>
  <c r="A74" i="14"/>
  <c r="A75" i="14"/>
  <c r="A79" i="14"/>
  <c r="A82" i="14"/>
  <c r="A87" i="14"/>
  <c r="A90" i="14"/>
  <c r="A98" i="14"/>
  <c r="A99" i="14"/>
  <c r="A103" i="14"/>
  <c r="R123" i="1"/>
  <c r="R124" i="1"/>
  <c r="R125" i="1"/>
  <c r="L131" i="1"/>
  <c r="L132" i="1"/>
  <c r="M132" i="1"/>
  <c r="R179" i="1"/>
  <c r="R180" i="1"/>
  <c r="R181" i="1"/>
  <c r="L187" i="1"/>
  <c r="L188" i="1"/>
  <c r="M188" i="1"/>
  <c r="R233" i="1"/>
  <c r="R234" i="1"/>
  <c r="R235" i="1"/>
  <c r="L241" i="1"/>
  <c r="L242" i="1"/>
  <c r="M242" i="1"/>
  <c r="R287" i="1"/>
  <c r="R288" i="1"/>
  <c r="R289" i="1"/>
  <c r="C345" i="1"/>
  <c r="I21" i="14"/>
  <c r="B20" i="14"/>
  <c r="E17" i="14"/>
  <c r="F18" i="14"/>
  <c r="F239" i="14"/>
  <c r="K19" i="14"/>
  <c r="I187" i="14"/>
  <c r="B241" i="14"/>
  <c r="F184" i="14"/>
  <c r="B76" i="14"/>
  <c r="F74" i="14"/>
  <c r="I77" i="14"/>
  <c r="E183" i="14"/>
  <c r="K75" i="14"/>
  <c r="I132" i="14"/>
  <c r="B186" i="14"/>
  <c r="K185" i="14"/>
  <c r="K130" i="14"/>
  <c r="F129" i="14"/>
  <c r="E128" i="14"/>
  <c r="I242" i="14"/>
  <c r="B131" i="14"/>
  <c r="K240" i="14"/>
  <c r="E73" i="14"/>
  <c r="E238" i="14"/>
  <c r="E124" i="14"/>
  <c r="E69" i="14"/>
  <c r="E179" i="14"/>
  <c r="E234" i="14"/>
  <c r="E13" i="14"/>
  <c r="B21" i="14"/>
  <c r="B242" i="14"/>
  <c r="B77" i="14"/>
  <c r="B132" i="14"/>
  <c r="B187" i="14"/>
  <c r="F185" i="14"/>
  <c r="F75" i="14"/>
  <c r="F19" i="14"/>
  <c r="F240" i="14"/>
  <c r="F130" i="14"/>
  <c r="K186" i="14"/>
  <c r="K241" i="14"/>
  <c r="K20" i="14"/>
  <c r="K131" i="14"/>
  <c r="K76" i="14"/>
  <c r="I74" i="14"/>
  <c r="I239" i="14"/>
  <c r="I184" i="14"/>
  <c r="G15" i="14"/>
  <c r="G71" i="14"/>
  <c r="G126" i="14"/>
  <c r="I18" i="14"/>
  <c r="I129" i="14"/>
  <c r="G181" i="14"/>
  <c r="G236" i="14"/>
  <c r="U37" i="4"/>
  <c r="Q37" i="4"/>
  <c r="T37" i="4"/>
  <c r="P37" i="4"/>
  <c r="W37" i="4"/>
  <c r="S37" i="4"/>
  <c r="O37" i="4"/>
  <c r="V37" i="4"/>
  <c r="R37" i="4"/>
  <c r="F70" i="14"/>
  <c r="J14" i="19"/>
  <c r="I15" i="14"/>
  <c r="K234" i="14"/>
  <c r="C127" i="14"/>
  <c r="K124" i="14"/>
  <c r="C15" i="14"/>
  <c r="I71" i="14"/>
  <c r="C71" i="14"/>
  <c r="I126" i="14"/>
  <c r="C126" i="14"/>
  <c r="K179" i="14"/>
  <c r="K69" i="14"/>
  <c r="F180" i="14"/>
  <c r="F166" i="14"/>
  <c r="C181" i="14"/>
  <c r="C72" i="14"/>
  <c r="C237" i="14"/>
  <c r="C16" i="14"/>
  <c r="C182" i="14"/>
  <c r="K13" i="14"/>
  <c r="K14" i="14"/>
  <c r="K180" i="14"/>
  <c r="K125" i="14"/>
  <c r="F235" i="14"/>
  <c r="K235" i="14"/>
  <c r="K70" i="14"/>
  <c r="K221" i="14"/>
  <c r="F221" i="14"/>
  <c r="F14" i="14"/>
  <c r="F125" i="14"/>
  <c r="C236" i="14"/>
  <c r="I181" i="14"/>
  <c r="K276" i="14"/>
  <c r="K111" i="14"/>
  <c r="K166" i="14"/>
  <c r="K55" i="14"/>
  <c r="F276" i="14"/>
  <c r="I236" i="14"/>
  <c r="C75" i="4"/>
  <c r="C74" i="4"/>
  <c r="D75" i="4"/>
  <c r="E75" i="4"/>
  <c r="K332" i="14"/>
  <c r="E74" i="4"/>
  <c r="D74" i="4"/>
  <c r="B75" i="4"/>
  <c r="F332" i="14"/>
  <c r="C80" i="4"/>
  <c r="C81" i="4"/>
  <c r="B74" i="4"/>
  <c r="F75" i="4"/>
  <c r="E80" i="4"/>
  <c r="F74" i="4"/>
  <c r="B77" i="4"/>
  <c r="D80" i="4"/>
  <c r="B80" i="4"/>
  <c r="E81" i="4"/>
  <c r="D81" i="4"/>
  <c r="B81" i="4"/>
  <c r="F80" i="4"/>
  <c r="F81" i="4"/>
  <c r="P73" i="4"/>
  <c r="W18" i="20" l="1"/>
  <c r="K20" i="20"/>
  <c r="V15" i="20"/>
  <c r="J17" i="20"/>
  <c r="J63" i="20" s="1"/>
  <c r="F75" i="13"/>
  <c r="F83" i="4"/>
  <c r="F149" i="13"/>
  <c r="C83" i="4"/>
  <c r="H318" i="14"/>
  <c r="J309" i="14"/>
  <c r="F303" i="14"/>
  <c r="G298" i="14"/>
  <c r="G295" i="14"/>
  <c r="Y37" i="4"/>
  <c r="Z37" i="4" s="1"/>
  <c r="AA37" i="4" s="1"/>
  <c r="AB37" i="4" s="1"/>
  <c r="AC37" i="4" s="1"/>
  <c r="AD37" i="4" s="1"/>
  <c r="AE37" i="4" s="1"/>
  <c r="AF37" i="4" s="1"/>
  <c r="AG37" i="4" s="1"/>
  <c r="B60" i="4"/>
  <c r="G60" i="4" s="1"/>
  <c r="H79" i="4"/>
  <c r="E76" i="4"/>
  <c r="E77" i="4" s="1"/>
  <c r="E78" i="4" s="1"/>
  <c r="B76" i="4"/>
  <c r="B82" i="4" s="1"/>
  <c r="D83" i="4"/>
  <c r="F78" i="13"/>
  <c r="F222" i="13"/>
  <c r="F291" i="13"/>
  <c r="F363" i="13"/>
  <c r="F147" i="13"/>
  <c r="B328" i="14"/>
  <c r="J308" i="14"/>
  <c r="E297" i="14"/>
  <c r="I35" i="1"/>
  <c r="F25" i="19" s="1"/>
  <c r="I25" i="19" s="1"/>
  <c r="AE3" i="1"/>
  <c r="E302" i="14"/>
  <c r="F76" i="13"/>
  <c r="F148" i="13"/>
  <c r="F292" i="13"/>
  <c r="D328" i="14"/>
  <c r="B297" i="14"/>
  <c r="N38" i="4"/>
  <c r="H324" i="14"/>
  <c r="J315" i="14"/>
  <c r="B311" i="14"/>
  <c r="H304" i="14"/>
  <c r="D325" i="14"/>
  <c r="B318" i="14"/>
  <c r="J310" i="14"/>
  <c r="B302" i="14"/>
  <c r="J294" i="14"/>
  <c r="G291" i="14"/>
  <c r="K16" i="13"/>
  <c r="F24" i="13" s="1"/>
  <c r="I24" i="13" s="1"/>
  <c r="F421" i="13"/>
  <c r="E294" i="14"/>
  <c r="I298" i="14"/>
  <c r="C293" i="14"/>
  <c r="K318" i="14"/>
  <c r="C304" i="14"/>
  <c r="AH17" i="1"/>
  <c r="L17" i="1" s="1"/>
  <c r="Q31" i="13" s="1"/>
  <c r="F320" i="14"/>
  <c r="K164" i="14"/>
  <c r="K167" i="14" s="1"/>
  <c r="F76" i="4"/>
  <c r="B83" i="4"/>
  <c r="H75" i="4"/>
  <c r="D76" i="4"/>
  <c r="C76" i="4"/>
  <c r="C292" i="14"/>
  <c r="I329" i="14"/>
  <c r="E329" i="14"/>
  <c r="K328" i="14"/>
  <c r="G328" i="14"/>
  <c r="E327" i="14"/>
  <c r="K326" i="14"/>
  <c r="G326" i="14"/>
  <c r="I325" i="14"/>
  <c r="E325" i="14"/>
  <c r="K324" i="14"/>
  <c r="G324" i="14"/>
  <c r="H329" i="14"/>
  <c r="H327" i="14"/>
  <c r="H323" i="14"/>
  <c r="F322" i="14"/>
  <c r="J320" i="14"/>
  <c r="D317" i="14"/>
  <c r="F316" i="14"/>
  <c r="F314" i="14"/>
  <c r="B314" i="14"/>
  <c r="F312" i="14"/>
  <c r="H309" i="14"/>
  <c r="J306" i="14"/>
  <c r="F306" i="14"/>
  <c r="J304" i="14"/>
  <c r="B304" i="14"/>
  <c r="J300" i="14"/>
  <c r="F300" i="14"/>
  <c r="J298" i="14"/>
  <c r="E298" i="14"/>
  <c r="D295" i="14"/>
  <c r="F293" i="14"/>
  <c r="J292" i="14"/>
  <c r="F329" i="14"/>
  <c r="B325" i="14"/>
  <c r="D324" i="14"/>
  <c r="B321" i="14"/>
  <c r="F319" i="14"/>
  <c r="J317" i="14"/>
  <c r="F315" i="14"/>
  <c r="J313" i="14"/>
  <c r="D312" i="14"/>
  <c r="J307" i="14"/>
  <c r="F307" i="14"/>
  <c r="H306" i="14"/>
  <c r="H302" i="14"/>
  <c r="B301" i="14"/>
  <c r="F299" i="14"/>
  <c r="B296" i="14"/>
  <c r="B294" i="14"/>
  <c r="J290" i="14"/>
  <c r="I323" i="14"/>
  <c r="E323" i="14"/>
  <c r="K322" i="14"/>
  <c r="G322" i="14"/>
  <c r="E321" i="14"/>
  <c r="K320" i="14"/>
  <c r="G320" i="14"/>
  <c r="C320" i="14"/>
  <c r="E319" i="14"/>
  <c r="G318" i="14"/>
  <c r="I317" i="14"/>
  <c r="E317" i="14"/>
  <c r="K316" i="14"/>
  <c r="G316" i="14"/>
  <c r="I315" i="14"/>
  <c r="E315" i="14"/>
  <c r="K314" i="14"/>
  <c r="G314" i="14"/>
  <c r="I313" i="14"/>
  <c r="K312" i="14"/>
  <c r="G312" i="14"/>
  <c r="I311" i="14"/>
  <c r="E311" i="14"/>
  <c r="K310" i="14"/>
  <c r="G310" i="14"/>
  <c r="I309" i="14"/>
  <c r="E309" i="14"/>
  <c r="K308" i="14"/>
  <c r="G308" i="14"/>
  <c r="I307" i="14"/>
  <c r="E307" i="14"/>
  <c r="K306" i="14"/>
  <c r="G306" i="14"/>
  <c r="C306" i="14"/>
  <c r="I305" i="14"/>
  <c r="E305" i="14"/>
  <c r="K304" i="14"/>
  <c r="G304" i="14"/>
  <c r="I303" i="14"/>
  <c r="K302" i="14"/>
  <c r="C302" i="14"/>
  <c r="I301" i="14"/>
  <c r="E301" i="14"/>
  <c r="K300" i="14"/>
  <c r="G300" i="14"/>
  <c r="C300" i="14"/>
  <c r="I299" i="14"/>
  <c r="E299" i="14"/>
  <c r="K298" i="14"/>
  <c r="F298" i="14"/>
  <c r="J297" i="14"/>
  <c r="F297" i="14"/>
  <c r="J296" i="14"/>
  <c r="E296" i="14"/>
  <c r="K295" i="14"/>
  <c r="E295" i="14"/>
  <c r="K294" i="14"/>
  <c r="G294" i="14"/>
  <c r="K293" i="14"/>
  <c r="G293" i="14"/>
  <c r="K292" i="14"/>
  <c r="E292" i="14"/>
  <c r="I290" i="14"/>
  <c r="G327" i="14"/>
  <c r="K325" i="14"/>
  <c r="G325" i="14"/>
  <c r="G323" i="14"/>
  <c r="K319" i="14"/>
  <c r="G317" i="14"/>
  <c r="E316" i="14"/>
  <c r="E314" i="14"/>
  <c r="E310" i="14"/>
  <c r="I308" i="14"/>
  <c r="E308" i="14"/>
  <c r="G305" i="14"/>
  <c r="I304" i="14"/>
  <c r="E300" i="14"/>
  <c r="C299" i="14"/>
  <c r="D294" i="14"/>
  <c r="F219" i="14"/>
  <c r="F222" i="14" s="1"/>
  <c r="H81" i="4"/>
  <c r="K291" i="14"/>
  <c r="G292" i="14"/>
  <c r="H80" i="4"/>
  <c r="H219" i="14"/>
  <c r="H222" i="14" s="1"/>
  <c r="J219" i="14"/>
  <c r="J222" i="14" s="1"/>
  <c r="H164" i="14"/>
  <c r="H167" i="14" s="1"/>
  <c r="H109" i="14"/>
  <c r="H112" i="14" s="1"/>
  <c r="F53" i="14"/>
  <c r="F56" i="14" s="1"/>
  <c r="K53" i="14"/>
  <c r="K56" i="14" s="1"/>
  <c r="H53" i="14"/>
  <c r="H56" i="14" s="1"/>
  <c r="H74" i="4"/>
  <c r="I295" i="14"/>
  <c r="K297" i="14"/>
  <c r="F296" i="14"/>
  <c r="B298" i="14"/>
  <c r="J329" i="14"/>
  <c r="H328" i="14"/>
  <c r="J327" i="14"/>
  <c r="F327" i="14"/>
  <c r="B327" i="14"/>
  <c r="H326" i="14"/>
  <c r="D326" i="14"/>
  <c r="J325" i="14"/>
  <c r="F325" i="14"/>
  <c r="J323" i="14"/>
  <c r="F323" i="14"/>
  <c r="B323" i="14"/>
  <c r="H322" i="14"/>
  <c r="D322" i="14"/>
  <c r="J321" i="14"/>
  <c r="F321" i="14"/>
  <c r="H320" i="14"/>
  <c r="D320" i="14"/>
  <c r="J319" i="14"/>
  <c r="B319" i="14"/>
  <c r="D318" i="14"/>
  <c r="F317" i="14"/>
  <c r="B317" i="14"/>
  <c r="H316" i="14"/>
  <c r="D316" i="14"/>
  <c r="B315" i="14"/>
  <c r="H314" i="14"/>
  <c r="D314" i="14"/>
  <c r="F313" i="14"/>
  <c r="B313" i="14"/>
  <c r="H312" i="14"/>
  <c r="J311" i="14"/>
  <c r="F311" i="14"/>
  <c r="H310" i="14"/>
  <c r="D310" i="14"/>
  <c r="F309" i="14"/>
  <c r="B309" i="14"/>
  <c r="H308" i="14"/>
  <c r="B307" i="14"/>
  <c r="J305" i="14"/>
  <c r="F305" i="14"/>
  <c r="J303" i="14"/>
  <c r="B303" i="14"/>
  <c r="D302" i="14"/>
  <c r="J301" i="14"/>
  <c r="F301" i="14"/>
  <c r="H300" i="14"/>
  <c r="D300" i="14"/>
  <c r="J299" i="14"/>
  <c r="B299" i="14"/>
  <c r="G297" i="14"/>
  <c r="C297" i="14"/>
  <c r="G296" i="14"/>
  <c r="H294" i="14"/>
  <c r="H293" i="14"/>
  <c r="B293" i="14"/>
  <c r="F292" i="14"/>
  <c r="I291" i="14"/>
  <c r="F290" i="14"/>
  <c r="D329" i="14"/>
  <c r="J328" i="14"/>
  <c r="F328" i="14"/>
  <c r="D327" i="14"/>
  <c r="J326" i="14"/>
  <c r="F326" i="14"/>
  <c r="B326" i="14"/>
  <c r="H325" i="14"/>
  <c r="J324" i="14"/>
  <c r="F324" i="14"/>
  <c r="B324" i="14"/>
  <c r="D323" i="14"/>
  <c r="J322" i="14"/>
  <c r="B322" i="14"/>
  <c r="H321" i="14"/>
  <c r="D321" i="14"/>
  <c r="B320" i="14"/>
  <c r="H319" i="14"/>
  <c r="D319" i="14"/>
  <c r="J318" i="14"/>
  <c r="F318" i="14"/>
  <c r="H317" i="14"/>
  <c r="J316" i="14"/>
  <c r="B316" i="14"/>
  <c r="H315" i="14"/>
  <c r="D315" i="14"/>
  <c r="J314" i="14"/>
  <c r="H313" i="14"/>
  <c r="D313" i="14"/>
  <c r="J312" i="14"/>
  <c r="B312" i="14"/>
  <c r="H311" i="14"/>
  <c r="D311" i="14"/>
  <c r="F310" i="14"/>
  <c r="B310" i="14"/>
  <c r="F308" i="14"/>
  <c r="B308" i="14"/>
  <c r="H307" i="14"/>
  <c r="B306" i="14"/>
  <c r="H305" i="14"/>
  <c r="D305" i="14"/>
  <c r="F304" i="14"/>
  <c r="H303" i="14"/>
  <c r="J302" i="14"/>
  <c r="F302" i="14"/>
  <c r="H301" i="14"/>
  <c r="H299" i="14"/>
  <c r="I297" i="14"/>
  <c r="I296" i="14"/>
  <c r="D296" i="14"/>
  <c r="J295" i="14"/>
  <c r="F294" i="14"/>
  <c r="J293" i="14"/>
  <c r="H290" i="14"/>
  <c r="E313" i="14"/>
  <c r="E303" i="14"/>
  <c r="C321" i="14"/>
  <c r="I292" i="14"/>
  <c r="F274" i="14"/>
  <c r="F277" i="14" s="1"/>
  <c r="E83" i="4"/>
  <c r="F291" i="14"/>
  <c r="K219" i="14"/>
  <c r="K222" i="14" s="1"/>
  <c r="C328" i="14"/>
  <c r="C308" i="14"/>
  <c r="H274" i="14"/>
  <c r="H277" i="14" s="1"/>
  <c r="H291" i="14"/>
  <c r="D290" i="14"/>
  <c r="J109" i="14"/>
  <c r="J112" i="14" s="1"/>
  <c r="F164" i="14"/>
  <c r="F167" i="14" s="1"/>
  <c r="K109" i="14"/>
  <c r="K112" i="14" s="1"/>
  <c r="E290" i="14"/>
  <c r="F295" i="14"/>
  <c r="K290" i="14"/>
  <c r="K274" i="14"/>
  <c r="K277" i="14" s="1"/>
  <c r="F109" i="14"/>
  <c r="F112" i="14" s="1"/>
  <c r="E326" i="14"/>
  <c r="K321" i="14"/>
  <c r="I316" i="14"/>
  <c r="K311" i="14"/>
  <c r="E306" i="14"/>
  <c r="K301" i="14"/>
  <c r="H296" i="14"/>
  <c r="D291" i="14"/>
  <c r="K329" i="14"/>
  <c r="G329" i="14"/>
  <c r="C329" i="14"/>
  <c r="E328" i="14"/>
  <c r="K327" i="14"/>
  <c r="C327" i="14"/>
  <c r="I326" i="14"/>
  <c r="I324" i="14"/>
  <c r="E324" i="14"/>
  <c r="K323" i="14"/>
  <c r="I322" i="14"/>
  <c r="E322" i="14"/>
  <c r="G321" i="14"/>
  <c r="E320" i="14"/>
  <c r="G319" i="14"/>
  <c r="C319" i="14"/>
  <c r="I318" i="14"/>
  <c r="E318" i="14"/>
  <c r="K317" i="14"/>
  <c r="K315" i="14"/>
  <c r="G315" i="14"/>
  <c r="I314" i="14"/>
  <c r="K313" i="14"/>
  <c r="G313" i="14"/>
  <c r="I312" i="14"/>
  <c r="E312" i="14"/>
  <c r="G311" i="14"/>
  <c r="I310" i="14"/>
  <c r="K309" i="14"/>
  <c r="G309" i="14"/>
  <c r="C309" i="14"/>
  <c r="K307" i="14"/>
  <c r="G307" i="14"/>
  <c r="C307" i="14"/>
  <c r="I306" i="14"/>
  <c r="K305" i="14"/>
  <c r="C305" i="14"/>
  <c r="E304" i="14"/>
  <c r="K303" i="14"/>
  <c r="G303" i="14"/>
  <c r="C303" i="14"/>
  <c r="I302" i="14"/>
  <c r="G301" i="14"/>
  <c r="C301" i="14"/>
  <c r="I300" i="14"/>
  <c r="K299" i="14"/>
  <c r="G299" i="14"/>
  <c r="H298" i="14"/>
  <c r="D298" i="14"/>
  <c r="H297" i="14"/>
  <c r="H295" i="14"/>
  <c r="C295" i="14"/>
  <c r="I294" i="14"/>
  <c r="I293" i="14"/>
  <c r="E293" i="14"/>
  <c r="H292" i="14"/>
  <c r="J291" i="14"/>
  <c r="G290" i="14"/>
  <c r="J53" i="14"/>
  <c r="J56" i="14" s="1"/>
  <c r="F45" i="19"/>
  <c r="I45" i="19" s="1"/>
  <c r="K296" i="14"/>
  <c r="J164" i="14"/>
  <c r="J167" i="14" s="1"/>
  <c r="J274" i="14"/>
  <c r="J277" i="14" s="1"/>
  <c r="I24" i="1"/>
  <c r="I26" i="1"/>
  <c r="I29" i="1"/>
  <c r="I34" i="1"/>
  <c r="I37" i="1"/>
  <c r="I42" i="1"/>
  <c r="I45" i="1"/>
  <c r="I50" i="1"/>
  <c r="I53" i="1"/>
  <c r="I58" i="1"/>
  <c r="I61" i="1"/>
  <c r="I25" i="1"/>
  <c r="I28" i="1"/>
  <c r="I32" i="1"/>
  <c r="I39" i="1"/>
  <c r="I43" i="1"/>
  <c r="I46" i="1"/>
  <c r="I57" i="1"/>
  <c r="I60" i="1"/>
  <c r="I38" i="1"/>
  <c r="I48" i="1"/>
  <c r="I52" i="1"/>
  <c r="I62" i="1"/>
  <c r="I31" i="1"/>
  <c r="I44" i="1"/>
  <c r="I51" i="1"/>
  <c r="I56" i="1"/>
  <c r="I63" i="1"/>
  <c r="I33" i="1"/>
  <c r="I41" i="1"/>
  <c r="I49" i="1"/>
  <c r="I59" i="1"/>
  <c r="I27" i="1"/>
  <c r="I36" i="1"/>
  <c r="I47" i="1"/>
  <c r="I40" i="1"/>
  <c r="I54" i="1"/>
  <c r="O367" i="1"/>
  <c r="I30" i="1"/>
  <c r="G347" i="1"/>
  <c r="L39" i="4"/>
  <c r="F366" i="13"/>
  <c r="F150" i="13"/>
  <c r="F293" i="13"/>
  <c r="F365" i="13"/>
  <c r="F77" i="13"/>
  <c r="F220" i="13"/>
  <c r="Q26" i="13" l="1"/>
  <c r="T41" i="13"/>
  <c r="X18" i="20"/>
  <c r="M20" i="20" s="1"/>
  <c r="L20" i="20"/>
  <c r="W15" i="20"/>
  <c r="K17" i="20"/>
  <c r="K63" i="20" s="1"/>
  <c r="R55" i="13"/>
  <c r="Q24" i="13"/>
  <c r="Q23" i="13"/>
  <c r="R53" i="13"/>
  <c r="R51" i="13"/>
  <c r="T61" i="13"/>
  <c r="Q61" i="13"/>
  <c r="R59" i="13"/>
  <c r="Q30" i="13"/>
  <c r="R54" i="13"/>
  <c r="T37" i="13"/>
  <c r="R24" i="13"/>
  <c r="T34" i="13"/>
  <c r="R32" i="13"/>
  <c r="R33" i="13"/>
  <c r="S59" i="13"/>
  <c r="T27" i="13"/>
  <c r="Q62" i="13"/>
  <c r="T25" i="13"/>
  <c r="Q46" i="13"/>
  <c r="R37" i="13"/>
  <c r="Q56" i="13"/>
  <c r="R42" i="13"/>
  <c r="T35" i="13"/>
  <c r="Q57" i="13"/>
  <c r="R56" i="13"/>
  <c r="R62" i="13"/>
  <c r="Q40" i="13"/>
  <c r="R41" i="13"/>
  <c r="T44" i="13"/>
  <c r="R31" i="13"/>
  <c r="S44" i="13"/>
  <c r="Q35" i="13"/>
  <c r="R26" i="13"/>
  <c r="R43" i="13"/>
  <c r="T46" i="13"/>
  <c r="Q51" i="13"/>
  <c r="T45" i="13"/>
  <c r="Q49" i="13"/>
  <c r="R35" i="13"/>
  <c r="S57" i="13"/>
  <c r="Q59" i="13"/>
  <c r="R45" i="13"/>
  <c r="T58" i="13"/>
  <c r="T40" i="13"/>
  <c r="Q27" i="13"/>
  <c r="Q25" i="13"/>
  <c r="Q47" i="13"/>
  <c r="R25" i="13"/>
  <c r="T32" i="13"/>
  <c r="F45" i="13"/>
  <c r="I45" i="13" s="1"/>
  <c r="L45" i="13" s="1"/>
  <c r="N45" i="13" s="1"/>
  <c r="AO25" i="1"/>
  <c r="AO33" i="1"/>
  <c r="AO41" i="1"/>
  <c r="AO49" i="1"/>
  <c r="AO57" i="1"/>
  <c r="AL26" i="1"/>
  <c r="AL34" i="1"/>
  <c r="AL42" i="1"/>
  <c r="AL50" i="1"/>
  <c r="AL58" i="1"/>
  <c r="AM26" i="1"/>
  <c r="AM34" i="1"/>
  <c r="AM42" i="1"/>
  <c r="AM50" i="1"/>
  <c r="AM58" i="1"/>
  <c r="AN27" i="1"/>
  <c r="AN35" i="1"/>
  <c r="AN43" i="1"/>
  <c r="AN51" i="1"/>
  <c r="AN59" i="1"/>
  <c r="AL24" i="1"/>
  <c r="AO26" i="1"/>
  <c r="AO42" i="1"/>
  <c r="AO50" i="1"/>
  <c r="AO58" i="1"/>
  <c r="AL35" i="1"/>
  <c r="AL43" i="1"/>
  <c r="AL51" i="1"/>
  <c r="AM27" i="1"/>
  <c r="AM43" i="1"/>
  <c r="AM59" i="1"/>
  <c r="AN52" i="1"/>
  <c r="AO34" i="1"/>
  <c r="AL27" i="1"/>
  <c r="AL59" i="1"/>
  <c r="AM35" i="1"/>
  <c r="AM51" i="1"/>
  <c r="AN36" i="1"/>
  <c r="AO27" i="1"/>
  <c r="AO35" i="1"/>
  <c r="AO43" i="1"/>
  <c r="AO51" i="1"/>
  <c r="AO59" i="1"/>
  <c r="AL28" i="1"/>
  <c r="AL36" i="1"/>
  <c r="AL44" i="1"/>
  <c r="AL52" i="1"/>
  <c r="AL60" i="1"/>
  <c r="AM28" i="1"/>
  <c r="AM36" i="1"/>
  <c r="AM44" i="1"/>
  <c r="AM52" i="1"/>
  <c r="AM60" i="1"/>
  <c r="AN29" i="1"/>
  <c r="AN37" i="1"/>
  <c r="AN45" i="1"/>
  <c r="AN53" i="1"/>
  <c r="AN61" i="1"/>
  <c r="AO28" i="1"/>
  <c r="AO44" i="1"/>
  <c r="AO52" i="1"/>
  <c r="AO60" i="1"/>
  <c r="AL29" i="1"/>
  <c r="AL37" i="1"/>
  <c r="AL53" i="1"/>
  <c r="AL61" i="1"/>
  <c r="AM29" i="1"/>
  <c r="AM45" i="1"/>
  <c r="AM61" i="1"/>
  <c r="AN38" i="1"/>
  <c r="AN62" i="1"/>
  <c r="AO36" i="1"/>
  <c r="AL45" i="1"/>
  <c r="AM37" i="1"/>
  <c r="AM53" i="1"/>
  <c r="AN30" i="1"/>
  <c r="AN54" i="1"/>
  <c r="AO29" i="1"/>
  <c r="AO37" i="1"/>
  <c r="AO45" i="1"/>
  <c r="AO53" i="1"/>
  <c r="AO61" i="1"/>
  <c r="AL30" i="1"/>
  <c r="AL38" i="1"/>
  <c r="AL46" i="1"/>
  <c r="AL54" i="1"/>
  <c r="AL62" i="1"/>
  <c r="AM30" i="1"/>
  <c r="AM38" i="1"/>
  <c r="AM46" i="1"/>
  <c r="AM54" i="1"/>
  <c r="AM62" i="1"/>
  <c r="AN31" i="1"/>
  <c r="AN39" i="1"/>
  <c r="AN47" i="1"/>
  <c r="AN55" i="1"/>
  <c r="AN63" i="1"/>
  <c r="AN33" i="1"/>
  <c r="AN49" i="1"/>
  <c r="AO32" i="1"/>
  <c r="AO56" i="1"/>
  <c r="AL33" i="1"/>
  <c r="AL49" i="1"/>
  <c r="AM33" i="1"/>
  <c r="AM49" i="1"/>
  <c r="AN34" i="1"/>
  <c r="AN50" i="1"/>
  <c r="AN28" i="1"/>
  <c r="AN60" i="1"/>
  <c r="AO30" i="1"/>
  <c r="AO38" i="1"/>
  <c r="AO46" i="1"/>
  <c r="AO54" i="1"/>
  <c r="AO62" i="1"/>
  <c r="AL31" i="1"/>
  <c r="AL39" i="1"/>
  <c r="AL47" i="1"/>
  <c r="AL55" i="1"/>
  <c r="AL63" i="1"/>
  <c r="AM31" i="1"/>
  <c r="AM39" i="1"/>
  <c r="AM47" i="1"/>
  <c r="AM55" i="1"/>
  <c r="AM63" i="1"/>
  <c r="AN32" i="1"/>
  <c r="AN40" i="1"/>
  <c r="AN48" i="1"/>
  <c r="AN56" i="1"/>
  <c r="AO24" i="1"/>
  <c r="AN24" i="1"/>
  <c r="AO48" i="1"/>
  <c r="AL41" i="1"/>
  <c r="AM25" i="1"/>
  <c r="AN26" i="1"/>
  <c r="AN58" i="1"/>
  <c r="AN44" i="1"/>
  <c r="AO31" i="1"/>
  <c r="AO39" i="1"/>
  <c r="AO47" i="1"/>
  <c r="AO55" i="1"/>
  <c r="AO63" i="1"/>
  <c r="AL32" i="1"/>
  <c r="AL40" i="1"/>
  <c r="AL48" i="1"/>
  <c r="AL56" i="1"/>
  <c r="AL64" i="1"/>
  <c r="AM32" i="1"/>
  <c r="AM40" i="1"/>
  <c r="AM48" i="1"/>
  <c r="AM56" i="1"/>
  <c r="AN25" i="1"/>
  <c r="AN41" i="1"/>
  <c r="AN57" i="1"/>
  <c r="AO40" i="1"/>
  <c r="AL25" i="1"/>
  <c r="AL57" i="1"/>
  <c r="AM41" i="1"/>
  <c r="AM57" i="1"/>
  <c r="AN42" i="1"/>
  <c r="AM24" i="1"/>
  <c r="AN46" i="1"/>
  <c r="F58" i="13"/>
  <c r="I58" i="13" s="1"/>
  <c r="L58" i="13" s="1"/>
  <c r="N58" i="13" s="1"/>
  <c r="F35" i="13"/>
  <c r="I35" i="13" s="1"/>
  <c r="L35" i="13" s="1"/>
  <c r="N35" i="13" s="1"/>
  <c r="B110" i="14"/>
  <c r="L28" i="1"/>
  <c r="L59" i="1"/>
  <c r="L49" i="1"/>
  <c r="L45" i="1"/>
  <c r="L41" i="1"/>
  <c r="L37" i="1"/>
  <c r="L33" i="1"/>
  <c r="L51" i="1"/>
  <c r="L43" i="1"/>
  <c r="L35" i="1"/>
  <c r="L26" i="1"/>
  <c r="T26" i="1" s="1"/>
  <c r="L30" i="1"/>
  <c r="L63" i="1"/>
  <c r="L57" i="1"/>
  <c r="L47" i="1"/>
  <c r="L39" i="1"/>
  <c r="L31" i="1"/>
  <c r="L32" i="1"/>
  <c r="L36" i="1"/>
  <c r="L40" i="1"/>
  <c r="L44" i="1"/>
  <c r="L48" i="1"/>
  <c r="L52" i="1"/>
  <c r="L58" i="1"/>
  <c r="L29" i="1"/>
  <c r="L34" i="1"/>
  <c r="T34" i="1" s="1"/>
  <c r="L38" i="1"/>
  <c r="L42" i="1"/>
  <c r="L46" i="1"/>
  <c r="L50" i="1"/>
  <c r="L56" i="1"/>
  <c r="L60" i="1"/>
  <c r="L27" i="1"/>
  <c r="S55" i="13"/>
  <c r="F41" i="13"/>
  <c r="I41" i="13" s="1"/>
  <c r="L41" i="13" s="1"/>
  <c r="N41" i="13" s="1"/>
  <c r="F55" i="13"/>
  <c r="I55" i="13" s="1"/>
  <c r="L55" i="13" s="1"/>
  <c r="N55" i="13" s="1"/>
  <c r="F31" i="13"/>
  <c r="I31" i="13" s="1"/>
  <c r="L31" i="13" s="1"/>
  <c r="N31" i="13" s="1"/>
  <c r="S47" i="13"/>
  <c r="S51" i="13"/>
  <c r="S28" i="13"/>
  <c r="S53" i="13"/>
  <c r="S31" i="13"/>
  <c r="F37" i="13"/>
  <c r="I37" i="13" s="1"/>
  <c r="L37" i="13" s="1"/>
  <c r="N37" i="13" s="1"/>
  <c r="F54" i="13"/>
  <c r="I54" i="13" s="1"/>
  <c r="L54" i="13" s="1"/>
  <c r="N54" i="13" s="1"/>
  <c r="F27" i="13"/>
  <c r="I27" i="13" s="1"/>
  <c r="L27" i="13" s="1"/>
  <c r="N27" i="13" s="1"/>
  <c r="S25" i="13"/>
  <c r="S36" i="13"/>
  <c r="F33" i="13"/>
  <c r="I33" i="13" s="1"/>
  <c r="L33" i="13" s="1"/>
  <c r="N33" i="13" s="1"/>
  <c r="F51" i="13"/>
  <c r="I51" i="13" s="1"/>
  <c r="L51" i="13" s="1"/>
  <c r="N51" i="13" s="1"/>
  <c r="F23" i="13"/>
  <c r="I23" i="13" s="1"/>
  <c r="L23" i="13" s="1"/>
  <c r="F60" i="13"/>
  <c r="I60" i="13" s="1"/>
  <c r="L60" i="13" s="1"/>
  <c r="N60" i="13" s="1"/>
  <c r="F29" i="13"/>
  <c r="I29" i="13" s="1"/>
  <c r="L29" i="13" s="1"/>
  <c r="N29" i="13" s="1"/>
  <c r="F50" i="13"/>
  <c r="I50" i="13" s="1"/>
  <c r="L50" i="13" s="1"/>
  <c r="N50" i="13" s="1"/>
  <c r="F57" i="13"/>
  <c r="I57" i="13" s="1"/>
  <c r="L57" i="13" s="1"/>
  <c r="N57" i="13" s="1"/>
  <c r="S60" i="13"/>
  <c r="S24" i="13"/>
  <c r="S45" i="13"/>
  <c r="F56" i="13"/>
  <c r="I56" i="13" s="1"/>
  <c r="L56" i="13" s="1"/>
  <c r="N56" i="13" s="1"/>
  <c r="F25" i="13"/>
  <c r="I25" i="13" s="1"/>
  <c r="L25" i="13" s="1"/>
  <c r="N25" i="13" s="1"/>
  <c r="F47" i="13"/>
  <c r="I47" i="13" s="1"/>
  <c r="L47" i="13" s="1"/>
  <c r="N47" i="13" s="1"/>
  <c r="F49" i="13"/>
  <c r="I49" i="13" s="1"/>
  <c r="L49" i="13" s="1"/>
  <c r="N49" i="13" s="1"/>
  <c r="S49" i="13"/>
  <c r="S26" i="13"/>
  <c r="S48" i="13"/>
  <c r="S39" i="13"/>
  <c r="S30" i="13"/>
  <c r="F52" i="13"/>
  <c r="I52" i="13" s="1"/>
  <c r="L52" i="13" s="1"/>
  <c r="N52" i="13" s="1"/>
  <c r="F62" i="13"/>
  <c r="I62" i="13" s="1"/>
  <c r="L62" i="13" s="1"/>
  <c r="N62" i="13" s="1"/>
  <c r="F43" i="13"/>
  <c r="I43" i="13" s="1"/>
  <c r="L43" i="13" s="1"/>
  <c r="N43" i="13" s="1"/>
  <c r="F40" i="13"/>
  <c r="I40" i="13" s="1"/>
  <c r="L40" i="13" s="1"/>
  <c r="N40" i="13" s="1"/>
  <c r="S35" i="13"/>
  <c r="S41" i="13"/>
  <c r="S34" i="13"/>
  <c r="S29" i="13"/>
  <c r="F48" i="13"/>
  <c r="I48" i="13" s="1"/>
  <c r="L48" i="13" s="1"/>
  <c r="N48" i="13" s="1"/>
  <c r="F59" i="13"/>
  <c r="I59" i="13" s="1"/>
  <c r="L59" i="13" s="1"/>
  <c r="N59" i="13" s="1"/>
  <c r="F39" i="13"/>
  <c r="I39" i="13" s="1"/>
  <c r="L39" i="13" s="1"/>
  <c r="N39" i="13" s="1"/>
  <c r="F32" i="13"/>
  <c r="I32" i="13" s="1"/>
  <c r="L32" i="13" s="1"/>
  <c r="N32" i="13" s="1"/>
  <c r="B78" i="4"/>
  <c r="S306" i="1"/>
  <c r="S314" i="1"/>
  <c r="S322" i="1"/>
  <c r="S330" i="1"/>
  <c r="S252" i="1"/>
  <c r="S256" i="1"/>
  <c r="S260" i="1"/>
  <c r="S264" i="1"/>
  <c r="S268" i="1"/>
  <c r="S272" i="1"/>
  <c r="S276" i="1"/>
  <c r="S280" i="1"/>
  <c r="S198" i="1"/>
  <c r="S202" i="1"/>
  <c r="S206" i="1"/>
  <c r="S210" i="1"/>
  <c r="S214" i="1"/>
  <c r="S218" i="1"/>
  <c r="S222" i="1"/>
  <c r="S226" i="1"/>
  <c r="S142" i="1"/>
  <c r="S146" i="1"/>
  <c r="S150" i="1"/>
  <c r="S154" i="1"/>
  <c r="S158" i="1"/>
  <c r="S162" i="1"/>
  <c r="S166" i="1"/>
  <c r="S170" i="1"/>
  <c r="T88" i="1"/>
  <c r="T96" i="1"/>
  <c r="T104" i="1"/>
  <c r="T112" i="1"/>
  <c r="S88" i="1"/>
  <c r="S96" i="1"/>
  <c r="S104" i="1"/>
  <c r="S112" i="1"/>
  <c r="T61" i="1"/>
  <c r="T30" i="1"/>
  <c r="T38" i="1"/>
  <c r="T46" i="1"/>
  <c r="T54" i="1"/>
  <c r="T251" i="1"/>
  <c r="T259" i="1"/>
  <c r="T279" i="1"/>
  <c r="T201" i="1"/>
  <c r="S87" i="1"/>
  <c r="T37" i="1"/>
  <c r="S315" i="1"/>
  <c r="S323" i="1"/>
  <c r="S331" i="1"/>
  <c r="T252" i="1"/>
  <c r="T256" i="1"/>
  <c r="T260" i="1"/>
  <c r="T264" i="1"/>
  <c r="T268" i="1"/>
  <c r="T272" i="1"/>
  <c r="T276" i="1"/>
  <c r="T280" i="1"/>
  <c r="T198" i="1"/>
  <c r="T202" i="1"/>
  <c r="T206" i="1"/>
  <c r="T210" i="1"/>
  <c r="T214" i="1"/>
  <c r="T218" i="1"/>
  <c r="T222" i="1"/>
  <c r="T226" i="1"/>
  <c r="T142" i="1"/>
  <c r="T146" i="1"/>
  <c r="T150" i="1"/>
  <c r="T154" i="1"/>
  <c r="T158" i="1"/>
  <c r="T162" i="1"/>
  <c r="T166" i="1"/>
  <c r="T170" i="1"/>
  <c r="T97" i="1"/>
  <c r="T105" i="1"/>
  <c r="T113" i="1"/>
  <c r="S97" i="1"/>
  <c r="S105" i="1"/>
  <c r="S113" i="1"/>
  <c r="T62" i="1"/>
  <c r="T31" i="1"/>
  <c r="T39" i="1"/>
  <c r="T47" i="1"/>
  <c r="T55" i="1"/>
  <c r="T247" i="1"/>
  <c r="T193" i="1"/>
  <c r="T221" i="1"/>
  <c r="T149" i="1"/>
  <c r="T87" i="1"/>
  <c r="S103" i="1"/>
  <c r="S300" i="1"/>
  <c r="S308" i="1"/>
  <c r="S316" i="1"/>
  <c r="S324" i="1"/>
  <c r="S332" i="1"/>
  <c r="S249" i="1"/>
  <c r="S257" i="1"/>
  <c r="S261" i="1"/>
  <c r="S265" i="1"/>
  <c r="S269" i="1"/>
  <c r="S273" i="1"/>
  <c r="S277" i="1"/>
  <c r="S281" i="1"/>
  <c r="S195" i="1"/>
  <c r="S203" i="1"/>
  <c r="S207" i="1"/>
  <c r="S211" i="1"/>
  <c r="S215" i="1"/>
  <c r="S219" i="1"/>
  <c r="S223" i="1"/>
  <c r="S227" i="1"/>
  <c r="S139" i="1"/>
  <c r="S147" i="1"/>
  <c r="S151" i="1"/>
  <c r="S155" i="1"/>
  <c r="S159" i="1"/>
  <c r="S163" i="1"/>
  <c r="S167" i="1"/>
  <c r="S171" i="1"/>
  <c r="T82" i="1"/>
  <c r="T90" i="1"/>
  <c r="T98" i="1"/>
  <c r="T106" i="1"/>
  <c r="T114" i="1"/>
  <c r="S82" i="1"/>
  <c r="S90" i="1"/>
  <c r="S98" i="1"/>
  <c r="S106" i="1"/>
  <c r="S114" i="1"/>
  <c r="T63" i="1"/>
  <c r="T32" i="1"/>
  <c r="T40" i="1"/>
  <c r="T48" i="1"/>
  <c r="T56" i="1"/>
  <c r="S321" i="1"/>
  <c r="T255" i="1"/>
  <c r="T217" i="1"/>
  <c r="T165" i="1"/>
  <c r="S95" i="1"/>
  <c r="S301" i="1"/>
  <c r="S309" i="1"/>
  <c r="S317" i="1"/>
  <c r="S325" i="1"/>
  <c r="S333" i="1"/>
  <c r="T249" i="1"/>
  <c r="T257" i="1"/>
  <c r="T261" i="1"/>
  <c r="T265" i="1"/>
  <c r="T269" i="1"/>
  <c r="T273" i="1"/>
  <c r="T277" i="1"/>
  <c r="T281" i="1"/>
  <c r="T195" i="1"/>
  <c r="T203" i="1"/>
  <c r="T207" i="1"/>
  <c r="T211" i="1"/>
  <c r="T215" i="1"/>
  <c r="T219" i="1"/>
  <c r="T223" i="1"/>
  <c r="T227" i="1"/>
  <c r="T139" i="1"/>
  <c r="T147" i="1"/>
  <c r="T151" i="1"/>
  <c r="T155" i="1"/>
  <c r="T159" i="1"/>
  <c r="T163" i="1"/>
  <c r="T167" i="1"/>
  <c r="T171" i="1"/>
  <c r="T83" i="1"/>
  <c r="T91" i="1"/>
  <c r="T99" i="1"/>
  <c r="T107" i="1"/>
  <c r="T115" i="1"/>
  <c r="S83" i="1"/>
  <c r="S91" i="1"/>
  <c r="S99" i="1"/>
  <c r="S107" i="1"/>
  <c r="S115" i="1"/>
  <c r="T33" i="1"/>
  <c r="T41" i="1"/>
  <c r="T49" i="1"/>
  <c r="T57" i="1"/>
  <c r="S329" i="1"/>
  <c r="T271" i="1"/>
  <c r="T205" i="1"/>
  <c r="T137" i="1"/>
  <c r="T157" i="1"/>
  <c r="T103" i="1"/>
  <c r="S310" i="1"/>
  <c r="S318" i="1"/>
  <c r="S326" i="1"/>
  <c r="S334" i="1"/>
  <c r="S246" i="1"/>
  <c r="S250" i="1"/>
  <c r="S254" i="1"/>
  <c r="S262" i="1"/>
  <c r="S266" i="1"/>
  <c r="S270" i="1"/>
  <c r="S274" i="1"/>
  <c r="S278" i="1"/>
  <c r="S192" i="1"/>
  <c r="S196" i="1"/>
  <c r="S200" i="1"/>
  <c r="S208" i="1"/>
  <c r="S212" i="1"/>
  <c r="S216" i="1"/>
  <c r="S220" i="1"/>
  <c r="S224" i="1"/>
  <c r="S136" i="1"/>
  <c r="S140" i="1"/>
  <c r="S144" i="1"/>
  <c r="S152" i="1"/>
  <c r="S156" i="1"/>
  <c r="S160" i="1"/>
  <c r="S164" i="1"/>
  <c r="S168" i="1"/>
  <c r="T92" i="1"/>
  <c r="T100" i="1"/>
  <c r="T108" i="1"/>
  <c r="T116" i="1"/>
  <c r="S92" i="1"/>
  <c r="S100" i="1"/>
  <c r="S108" i="1"/>
  <c r="S116" i="1"/>
  <c r="T42" i="1"/>
  <c r="T50" i="1"/>
  <c r="T58" i="1"/>
  <c r="T267" i="1"/>
  <c r="T209" i="1"/>
  <c r="T145" i="1"/>
  <c r="T169" i="1"/>
  <c r="T45" i="1"/>
  <c r="S303" i="1"/>
  <c r="S311" i="1"/>
  <c r="S319" i="1"/>
  <c r="S327" i="1"/>
  <c r="S335" i="1"/>
  <c r="T246" i="1"/>
  <c r="T250" i="1"/>
  <c r="T254" i="1"/>
  <c r="T262" i="1"/>
  <c r="T266" i="1"/>
  <c r="T270" i="1"/>
  <c r="T274" i="1"/>
  <c r="T278" i="1"/>
  <c r="T192" i="1"/>
  <c r="T196" i="1"/>
  <c r="T200" i="1"/>
  <c r="T208" i="1"/>
  <c r="T212" i="1"/>
  <c r="T216" i="1"/>
  <c r="T220" i="1"/>
  <c r="T224" i="1"/>
  <c r="T136" i="1"/>
  <c r="T140" i="1"/>
  <c r="T144" i="1"/>
  <c r="T152" i="1"/>
  <c r="T156" i="1"/>
  <c r="T160" i="1"/>
  <c r="T164" i="1"/>
  <c r="T168" i="1"/>
  <c r="T85" i="1"/>
  <c r="T93" i="1"/>
  <c r="T101" i="1"/>
  <c r="T109" i="1"/>
  <c r="T117" i="1"/>
  <c r="S85" i="1"/>
  <c r="S93" i="1"/>
  <c r="S101" i="1"/>
  <c r="S109" i="1"/>
  <c r="S117" i="1"/>
  <c r="T27" i="1"/>
  <c r="T35" i="1"/>
  <c r="T43" i="1"/>
  <c r="T51" i="1"/>
  <c r="T59" i="1"/>
  <c r="S313" i="1"/>
  <c r="T275" i="1"/>
  <c r="T213" i="1"/>
  <c r="T141" i="1"/>
  <c r="T161" i="1"/>
  <c r="T111" i="1"/>
  <c r="T29" i="1"/>
  <c r="S304" i="1"/>
  <c r="S320" i="1"/>
  <c r="S328" i="1"/>
  <c r="S247" i="1"/>
  <c r="S251" i="1"/>
  <c r="S255" i="1"/>
  <c r="S259" i="1"/>
  <c r="S263" i="1"/>
  <c r="S267" i="1"/>
  <c r="S271" i="1"/>
  <c r="S275" i="1"/>
  <c r="S279" i="1"/>
  <c r="S193" i="1"/>
  <c r="S197" i="1"/>
  <c r="S201" i="1"/>
  <c r="S205" i="1"/>
  <c r="S209" i="1"/>
  <c r="S213" i="1"/>
  <c r="S217" i="1"/>
  <c r="S221" i="1"/>
  <c r="S225" i="1"/>
  <c r="S137" i="1"/>
  <c r="S141" i="1"/>
  <c r="S145" i="1"/>
  <c r="S149" i="1"/>
  <c r="S153" i="1"/>
  <c r="S157" i="1"/>
  <c r="S161" i="1"/>
  <c r="S165" i="1"/>
  <c r="S169" i="1"/>
  <c r="T86" i="1"/>
  <c r="T102" i="1"/>
  <c r="T110" i="1"/>
  <c r="S86" i="1"/>
  <c r="S102" i="1"/>
  <c r="S110" i="1"/>
  <c r="T28" i="1"/>
  <c r="T36" i="1"/>
  <c r="T44" i="1"/>
  <c r="T52" i="1"/>
  <c r="T60" i="1"/>
  <c r="S305" i="1"/>
  <c r="T263" i="1"/>
  <c r="T197" i="1"/>
  <c r="T225" i="1"/>
  <c r="T153" i="1"/>
  <c r="T95" i="1"/>
  <c r="S111" i="1"/>
  <c r="T53" i="1"/>
  <c r="S62" i="13"/>
  <c r="Q36" i="13"/>
  <c r="S46" i="13"/>
  <c r="T62" i="13"/>
  <c r="R46" i="13"/>
  <c r="R57" i="13"/>
  <c r="T48" i="13"/>
  <c r="T38" i="13"/>
  <c r="T56" i="13"/>
  <c r="Q52" i="13"/>
  <c r="R50" i="13"/>
  <c r="S33" i="13"/>
  <c r="T30" i="13"/>
  <c r="T54" i="13"/>
  <c r="T43" i="13"/>
  <c r="R44" i="13"/>
  <c r="S27" i="13"/>
  <c r="T26" i="13"/>
  <c r="R38" i="13"/>
  <c r="Q33" i="13"/>
  <c r="Q53" i="13"/>
  <c r="S23" i="13"/>
  <c r="R34" i="13"/>
  <c r="Q48" i="13"/>
  <c r="Q60" i="13"/>
  <c r="T57" i="13"/>
  <c r="T50" i="13"/>
  <c r="Q50" i="13"/>
  <c r="T39" i="13"/>
  <c r="T42" i="13"/>
  <c r="T51" i="13"/>
  <c r="T31" i="13"/>
  <c r="T59" i="13"/>
  <c r="T52" i="13"/>
  <c r="S37" i="13"/>
  <c r="Q37" i="13"/>
  <c r="Q28" i="13"/>
  <c r="T23" i="13"/>
  <c r="R40" i="13"/>
  <c r="S61" i="13"/>
  <c r="S43" i="13"/>
  <c r="R23" i="13"/>
  <c r="S40" i="13"/>
  <c r="T60" i="13"/>
  <c r="Q42" i="13"/>
  <c r="R29" i="13"/>
  <c r="S54" i="13"/>
  <c r="S58" i="13"/>
  <c r="Q54" i="13"/>
  <c r="R39" i="13"/>
  <c r="T55" i="13"/>
  <c r="S42" i="13"/>
  <c r="Q38" i="13"/>
  <c r="R52" i="13"/>
  <c r="S38" i="13"/>
  <c r="Q34" i="13"/>
  <c r="T36" i="13"/>
  <c r="R58" i="13"/>
  <c r="S56" i="13"/>
  <c r="T47" i="13"/>
  <c r="S32" i="13"/>
  <c r="R48" i="13"/>
  <c r="Q32" i="13"/>
  <c r="R49" i="13"/>
  <c r="R30" i="13"/>
  <c r="Q41" i="13"/>
  <c r="Q58" i="13"/>
  <c r="T49" i="13"/>
  <c r="T29" i="13"/>
  <c r="R60" i="13"/>
  <c r="Q43" i="13"/>
  <c r="S52" i="13"/>
  <c r="T24" i="13"/>
  <c r="Q29" i="13"/>
  <c r="F28" i="13"/>
  <c r="I28" i="13" s="1"/>
  <c r="L28" i="13" s="1"/>
  <c r="N28" i="13" s="1"/>
  <c r="F36" i="13"/>
  <c r="I36" i="13" s="1"/>
  <c r="L36" i="13" s="1"/>
  <c r="N36" i="13" s="1"/>
  <c r="F44" i="13"/>
  <c r="I44" i="13" s="1"/>
  <c r="L44" i="13" s="1"/>
  <c r="N44" i="13" s="1"/>
  <c r="F53" i="13"/>
  <c r="I53" i="13" s="1"/>
  <c r="L53" i="13" s="1"/>
  <c r="N53" i="13" s="1"/>
  <c r="F61" i="13"/>
  <c r="I61" i="13" s="1"/>
  <c r="L61" i="13" s="1"/>
  <c r="N61" i="13" s="1"/>
  <c r="F26" i="13"/>
  <c r="I26" i="13" s="1"/>
  <c r="F30" i="13"/>
  <c r="I30" i="13" s="1"/>
  <c r="L30" i="13" s="1"/>
  <c r="N30" i="13" s="1"/>
  <c r="F34" i="13"/>
  <c r="I34" i="13" s="1"/>
  <c r="L34" i="13" s="1"/>
  <c r="N34" i="13" s="1"/>
  <c r="F38" i="13"/>
  <c r="I38" i="13" s="1"/>
  <c r="L38" i="13" s="1"/>
  <c r="N38" i="13" s="1"/>
  <c r="F42" i="13"/>
  <c r="I42" i="13" s="1"/>
  <c r="L42" i="13" s="1"/>
  <c r="N42" i="13" s="1"/>
  <c r="F46" i="13"/>
  <c r="I46" i="13" s="1"/>
  <c r="L46" i="13" s="1"/>
  <c r="N46" i="13" s="1"/>
  <c r="H79" i="1"/>
  <c r="P79" i="1" s="1"/>
  <c r="H133" i="1" s="1"/>
  <c r="P133" i="1" s="1"/>
  <c r="H80" i="1"/>
  <c r="P80" i="1" s="1"/>
  <c r="H134" i="1" s="1"/>
  <c r="P134" i="1" s="1"/>
  <c r="E82" i="4"/>
  <c r="E84" i="4" s="1"/>
  <c r="AH25" i="1"/>
  <c r="AH33" i="1"/>
  <c r="AH41" i="1"/>
  <c r="AH49" i="1"/>
  <c r="AH57" i="1"/>
  <c r="AF27" i="1"/>
  <c r="AF35" i="1"/>
  <c r="AF43" i="1"/>
  <c r="AF51" i="1"/>
  <c r="AF59" i="1"/>
  <c r="AF42" i="1"/>
  <c r="AH26" i="1"/>
  <c r="AH34" i="1"/>
  <c r="AH42" i="1"/>
  <c r="AH50" i="1"/>
  <c r="AH58" i="1"/>
  <c r="AF28" i="1"/>
  <c r="AF36" i="1"/>
  <c r="AF44" i="1"/>
  <c r="AF52" i="1"/>
  <c r="AF60" i="1"/>
  <c r="AH56" i="1"/>
  <c r="AH27" i="1"/>
  <c r="AH35" i="1"/>
  <c r="AH43" i="1"/>
  <c r="AH51" i="1"/>
  <c r="AH59" i="1"/>
  <c r="AF29" i="1"/>
  <c r="AF37" i="1"/>
  <c r="AF45" i="1"/>
  <c r="AF53" i="1"/>
  <c r="AF61" i="1"/>
  <c r="AF26" i="1"/>
  <c r="AH28" i="1"/>
  <c r="AH36" i="1"/>
  <c r="AH44" i="1"/>
  <c r="AH52" i="1"/>
  <c r="AH60" i="1"/>
  <c r="AF30" i="1"/>
  <c r="AF38" i="1"/>
  <c r="AF46" i="1"/>
  <c r="AF54" i="1"/>
  <c r="AF62" i="1"/>
  <c r="AH32" i="1"/>
  <c r="AF50" i="1"/>
  <c r="AH29" i="1"/>
  <c r="AH37" i="1"/>
  <c r="AH45" i="1"/>
  <c r="AH53" i="1"/>
  <c r="AH61" i="1"/>
  <c r="AF31" i="1"/>
  <c r="AF39" i="1"/>
  <c r="AF47" i="1"/>
  <c r="AF55" i="1"/>
  <c r="AF63" i="1"/>
  <c r="AH40" i="1"/>
  <c r="AF58" i="1"/>
  <c r="AH30" i="1"/>
  <c r="AH38" i="1"/>
  <c r="AH46" i="1"/>
  <c r="AH54" i="1"/>
  <c r="AH62" i="1"/>
  <c r="AF32" i="1"/>
  <c r="AF40" i="1"/>
  <c r="AF48" i="1"/>
  <c r="AF56" i="1"/>
  <c r="AH24" i="1"/>
  <c r="AH48" i="1"/>
  <c r="AE24" i="1"/>
  <c r="AH31" i="1"/>
  <c r="AH39" i="1"/>
  <c r="AH47" i="1"/>
  <c r="AH55" i="1"/>
  <c r="AF25" i="1"/>
  <c r="AF33" i="1"/>
  <c r="AF41" i="1"/>
  <c r="AF49" i="1"/>
  <c r="AF57" i="1"/>
  <c r="AF24" i="1"/>
  <c r="AF34" i="1"/>
  <c r="B84" i="4"/>
  <c r="AH63" i="1"/>
  <c r="R28" i="13"/>
  <c r="D82" i="4"/>
  <c r="D84" i="4" s="1"/>
  <c r="D77" i="4"/>
  <c r="D78" i="4" s="1"/>
  <c r="F82" i="4"/>
  <c r="F84" i="4" s="1"/>
  <c r="F77" i="4"/>
  <c r="F78" i="4" s="1"/>
  <c r="C82" i="4"/>
  <c r="C84" i="4" s="1"/>
  <c r="C77" i="4"/>
  <c r="L24" i="1"/>
  <c r="T24" i="1" s="1"/>
  <c r="Q45" i="13"/>
  <c r="T33" i="13"/>
  <c r="T28" i="13"/>
  <c r="R47" i="13"/>
  <c r="R61" i="13"/>
  <c r="Q39" i="13"/>
  <c r="Q55" i="13"/>
  <c r="T53" i="13"/>
  <c r="R27" i="13"/>
  <c r="S50" i="13"/>
  <c r="R36" i="13"/>
  <c r="Q44" i="13"/>
  <c r="AG25" i="1"/>
  <c r="AG27" i="1"/>
  <c r="AG29" i="1"/>
  <c r="AG31" i="1"/>
  <c r="AG33" i="1"/>
  <c r="AG35" i="1"/>
  <c r="AG37" i="1"/>
  <c r="AG39" i="1"/>
  <c r="AG41" i="1"/>
  <c r="AG43" i="1"/>
  <c r="AG45" i="1"/>
  <c r="AG47" i="1"/>
  <c r="AG49" i="1"/>
  <c r="AG51" i="1"/>
  <c r="AG53" i="1"/>
  <c r="AG55" i="1"/>
  <c r="AG57" i="1"/>
  <c r="AG59" i="1"/>
  <c r="AG61" i="1"/>
  <c r="AG63" i="1"/>
  <c r="AG28" i="1"/>
  <c r="AG32" i="1"/>
  <c r="AG36" i="1"/>
  <c r="AG40" i="1"/>
  <c r="AG44" i="1"/>
  <c r="AG48" i="1"/>
  <c r="AG52" i="1"/>
  <c r="AG56" i="1"/>
  <c r="AG60" i="1"/>
  <c r="AG24" i="1"/>
  <c r="AE26" i="1"/>
  <c r="AE28" i="1"/>
  <c r="AE30" i="1"/>
  <c r="AE32" i="1"/>
  <c r="AE34" i="1"/>
  <c r="AE36" i="1"/>
  <c r="AE38" i="1"/>
  <c r="AE40" i="1"/>
  <c r="AE42" i="1"/>
  <c r="AE44" i="1"/>
  <c r="AE46" i="1"/>
  <c r="AE48" i="1"/>
  <c r="AE50" i="1"/>
  <c r="AE52" i="1"/>
  <c r="AE54" i="1"/>
  <c r="AE56" i="1"/>
  <c r="AE58" i="1"/>
  <c r="AE60" i="1"/>
  <c r="AE62" i="1"/>
  <c r="AG26" i="1"/>
  <c r="AG30" i="1"/>
  <c r="AG34" i="1"/>
  <c r="AG38" i="1"/>
  <c r="AG42" i="1"/>
  <c r="AG46" i="1"/>
  <c r="AG50" i="1"/>
  <c r="AG54" i="1"/>
  <c r="AG58" i="1"/>
  <c r="AG62" i="1"/>
  <c r="AE25" i="1"/>
  <c r="AE27" i="1"/>
  <c r="AE29" i="1"/>
  <c r="AE31" i="1"/>
  <c r="AE33" i="1"/>
  <c r="AE35" i="1"/>
  <c r="AE37" i="1"/>
  <c r="AE39" i="1"/>
  <c r="AE41" i="1"/>
  <c r="AE43" i="1"/>
  <c r="AE45" i="1"/>
  <c r="AE47" i="1"/>
  <c r="AE49" i="1"/>
  <c r="AE51" i="1"/>
  <c r="AE53" i="1"/>
  <c r="AE55" i="1"/>
  <c r="AE57" i="1"/>
  <c r="AE59" i="1"/>
  <c r="AE61" i="1"/>
  <c r="AE63" i="1"/>
  <c r="D54" i="14"/>
  <c r="L25" i="1"/>
  <c r="T25" i="1" s="1"/>
  <c r="H83" i="4"/>
  <c r="H76" i="4"/>
  <c r="J330" i="14"/>
  <c r="J334" i="14" s="1"/>
  <c r="G110" i="14"/>
  <c r="D165" i="14"/>
  <c r="L24" i="13"/>
  <c r="N24" i="13" s="1"/>
  <c r="G220" i="14"/>
  <c r="F330" i="14"/>
  <c r="F334" i="14" s="1"/>
  <c r="F20" i="19"/>
  <c r="I20" i="19" s="1"/>
  <c r="F44" i="19"/>
  <c r="I44" i="19" s="1"/>
  <c r="F17" i="19"/>
  <c r="I17" i="19" s="1"/>
  <c r="F23" i="19"/>
  <c r="I23" i="19" s="1"/>
  <c r="F34" i="19"/>
  <c r="I34" i="19" s="1"/>
  <c r="F38" i="19"/>
  <c r="I38" i="19" s="1"/>
  <c r="F36" i="19"/>
  <c r="I36" i="19" s="1"/>
  <c r="F18" i="19"/>
  <c r="I18" i="19" s="1"/>
  <c r="F43" i="19"/>
  <c r="I43" i="19" s="1"/>
  <c r="F27" i="19"/>
  <c r="I27" i="19" s="1"/>
  <c r="F14" i="19"/>
  <c r="I14" i="19" s="1"/>
  <c r="F30" i="19"/>
  <c r="I30" i="19" s="1"/>
  <c r="F49" i="19"/>
  <c r="I49" i="19" s="1"/>
  <c r="F53" i="19"/>
  <c r="I53" i="19" s="1"/>
  <c r="F21" i="19"/>
  <c r="I21" i="19" s="1"/>
  <c r="F28" i="19"/>
  <c r="I28" i="19" s="1"/>
  <c r="F33" i="19"/>
  <c r="I33" i="19" s="1"/>
  <c r="F15" i="19"/>
  <c r="I15" i="19" s="1"/>
  <c r="F40" i="19"/>
  <c r="I40" i="19" s="1"/>
  <c r="F24" i="19"/>
  <c r="I24" i="19" s="1"/>
  <c r="F37" i="19"/>
  <c r="I37" i="19" s="1"/>
  <c r="F39" i="19"/>
  <c r="I39" i="19" s="1"/>
  <c r="F46" i="19"/>
  <c r="I46" i="19" s="1"/>
  <c r="F52" i="19"/>
  <c r="I52" i="19" s="1"/>
  <c r="F50" i="19"/>
  <c r="I50" i="19" s="1"/>
  <c r="F29" i="19"/>
  <c r="I29" i="19" s="1"/>
  <c r="F51" i="19"/>
  <c r="I51" i="19" s="1"/>
  <c r="F35" i="19"/>
  <c r="I35" i="19" s="1"/>
  <c r="F19" i="19"/>
  <c r="I19" i="19" s="1"/>
  <c r="D110" i="14"/>
  <c r="G275" i="14"/>
  <c r="C110" i="14"/>
  <c r="C220" i="14"/>
  <c r="D275" i="14"/>
  <c r="G54" i="14"/>
  <c r="C54" i="14"/>
  <c r="E165" i="14"/>
  <c r="E110" i="14"/>
  <c r="B165" i="14"/>
  <c r="C165" i="14"/>
  <c r="E220" i="14"/>
  <c r="E275" i="14"/>
  <c r="B220" i="14"/>
  <c r="B275" i="14"/>
  <c r="G165" i="14"/>
  <c r="B54" i="14"/>
  <c r="E54" i="14"/>
  <c r="C275" i="14"/>
  <c r="D220" i="14"/>
  <c r="H83" i="1"/>
  <c r="P83" i="1" s="1"/>
  <c r="H86" i="1"/>
  <c r="H90" i="1"/>
  <c r="H94" i="1"/>
  <c r="H98" i="1"/>
  <c r="H101" i="1"/>
  <c r="H102" i="1"/>
  <c r="H103" i="1"/>
  <c r="H104" i="1"/>
  <c r="H105" i="1"/>
  <c r="H106" i="1"/>
  <c r="H107" i="1"/>
  <c r="R290" i="1"/>
  <c r="H81" i="1"/>
  <c r="S81" i="1" s="1"/>
  <c r="H84" i="1"/>
  <c r="S84" i="1" s="1"/>
  <c r="H88" i="1"/>
  <c r="H91" i="1"/>
  <c r="H82" i="1"/>
  <c r="H89" i="1"/>
  <c r="S89" i="1" s="1"/>
  <c r="H93" i="1"/>
  <c r="H97" i="1"/>
  <c r="H110" i="1"/>
  <c r="H114" i="1"/>
  <c r="P114" i="1" s="1"/>
  <c r="R237" i="1"/>
  <c r="H95" i="1"/>
  <c r="H96" i="1"/>
  <c r="H108" i="1"/>
  <c r="H111" i="1"/>
  <c r="H118" i="1"/>
  <c r="S118" i="1" s="1"/>
  <c r="H87" i="1"/>
  <c r="H116" i="1"/>
  <c r="R127" i="1"/>
  <c r="R73" i="1"/>
  <c r="G184" i="1"/>
  <c r="A332" i="1"/>
  <c r="A316" i="1"/>
  <c r="A300" i="1"/>
  <c r="J270" i="1"/>
  <c r="J254" i="1"/>
  <c r="J224" i="1"/>
  <c r="J208" i="1"/>
  <c r="J192" i="1"/>
  <c r="G127" i="1"/>
  <c r="A327" i="1"/>
  <c r="A311" i="1"/>
  <c r="J281" i="1"/>
  <c r="J265" i="1"/>
  <c r="J249" i="1"/>
  <c r="A277" i="1"/>
  <c r="A268" i="14" s="1"/>
  <c r="A269" i="1"/>
  <c r="A260" i="14" s="1"/>
  <c r="A261" i="1"/>
  <c r="A252" i="14" s="1"/>
  <c r="A253" i="1"/>
  <c r="A244" i="14" s="1"/>
  <c r="A245" i="1"/>
  <c r="A236" i="14" s="1"/>
  <c r="J219" i="1"/>
  <c r="J203" i="1"/>
  <c r="A227" i="1"/>
  <c r="A217" i="14" s="1"/>
  <c r="A219" i="1"/>
  <c r="A209" i="14" s="1"/>
  <c r="A211" i="1"/>
  <c r="A201" i="14" s="1"/>
  <c r="A203" i="1"/>
  <c r="A193" i="14" s="1"/>
  <c r="G289" i="1"/>
  <c r="G71" i="1"/>
  <c r="A321" i="1"/>
  <c r="A305" i="1"/>
  <c r="J275" i="1"/>
  <c r="J259" i="1"/>
  <c r="J243" i="1"/>
  <c r="J213" i="1"/>
  <c r="J197" i="1"/>
  <c r="J165" i="1"/>
  <c r="J149" i="1"/>
  <c r="J133" i="1"/>
  <c r="J103" i="1"/>
  <c r="J87" i="1"/>
  <c r="J158" i="1"/>
  <c r="A144" i="1"/>
  <c r="A135" i="14" s="1"/>
  <c r="J82" i="1"/>
  <c r="J147" i="1"/>
  <c r="J88" i="1"/>
  <c r="J280" i="1"/>
  <c r="J210" i="1"/>
  <c r="A204" i="1"/>
  <c r="A194" i="14" s="1"/>
  <c r="J172" i="1"/>
  <c r="J151" i="1"/>
  <c r="A170" i="1"/>
  <c r="A161" i="14" s="1"/>
  <c r="A159" i="1"/>
  <c r="A150" i="14" s="1"/>
  <c r="A148" i="1"/>
  <c r="A139" i="14" s="1"/>
  <c r="A138" i="1"/>
  <c r="A129" i="14" s="1"/>
  <c r="J108" i="1"/>
  <c r="J86" i="1"/>
  <c r="A322" i="1"/>
  <c r="J244" i="1"/>
  <c r="A214" i="1"/>
  <c r="A204" i="14" s="1"/>
  <c r="A192" i="1"/>
  <c r="A182" i="14" s="1"/>
  <c r="J160" i="1"/>
  <c r="J139" i="1"/>
  <c r="A163" i="1"/>
  <c r="A154" i="14" s="1"/>
  <c r="A152" i="1"/>
  <c r="A143" i="14" s="1"/>
  <c r="A142" i="1"/>
  <c r="A133" i="14" s="1"/>
  <c r="J117" i="1"/>
  <c r="J96" i="1"/>
  <c r="G236" i="1"/>
  <c r="J272" i="1"/>
  <c r="A264" i="1"/>
  <c r="A255" i="14" s="1"/>
  <c r="H92" i="1"/>
  <c r="H109" i="1"/>
  <c r="R72" i="1"/>
  <c r="G74" i="1"/>
  <c r="A320" i="1"/>
  <c r="J282" i="1"/>
  <c r="J262" i="1"/>
  <c r="A282" i="1"/>
  <c r="A273" i="14" s="1"/>
  <c r="A270" i="1"/>
  <c r="A261" i="14" s="1"/>
  <c r="A250" i="1"/>
  <c r="A241" i="14" s="1"/>
  <c r="J220" i="1"/>
  <c r="J200" i="1"/>
  <c r="A224" i="1"/>
  <c r="A214" i="14" s="1"/>
  <c r="A212" i="1"/>
  <c r="A202" i="14" s="1"/>
  <c r="G183" i="1"/>
  <c r="A323" i="1"/>
  <c r="A303" i="1"/>
  <c r="J269" i="1"/>
  <c r="J245" i="1"/>
  <c r="A273" i="1"/>
  <c r="A264" i="14" s="1"/>
  <c r="J227" i="1"/>
  <c r="J207" i="1"/>
  <c r="A215" i="1"/>
  <c r="A205" i="14" s="1"/>
  <c r="G235" i="1"/>
  <c r="A329" i="1"/>
  <c r="A309" i="1"/>
  <c r="J271" i="1"/>
  <c r="J251" i="1"/>
  <c r="A275" i="1"/>
  <c r="A266" i="14" s="1"/>
  <c r="A263" i="1"/>
  <c r="A254" i="14" s="1"/>
  <c r="A243" i="1"/>
  <c r="A234" i="14" s="1"/>
  <c r="J209" i="1"/>
  <c r="J189" i="1"/>
  <c r="A217" i="1"/>
  <c r="A207" i="14" s="1"/>
  <c r="A205" i="1"/>
  <c r="A195" i="14" s="1"/>
  <c r="J169" i="1"/>
  <c r="J145" i="1"/>
  <c r="A157" i="1"/>
  <c r="A148" i="14" s="1"/>
  <c r="A145" i="1"/>
  <c r="A136" i="14" s="1"/>
  <c r="J107" i="1"/>
  <c r="J83" i="1"/>
  <c r="A166" i="1"/>
  <c r="A157" i="14" s="1"/>
  <c r="J98" i="1"/>
  <c r="A171" i="1"/>
  <c r="A162" i="14" s="1"/>
  <c r="A310" i="1"/>
  <c r="A256" i="1"/>
  <c r="A247" i="14" s="1"/>
  <c r="A218" i="1"/>
  <c r="A208" i="14" s="1"/>
  <c r="J146" i="1"/>
  <c r="A164" i="1"/>
  <c r="A155" i="14" s="1"/>
  <c r="J97" i="1"/>
  <c r="G72" i="1"/>
  <c r="A268" i="1"/>
  <c r="A259" i="14" s="1"/>
  <c r="J206" i="1"/>
  <c r="J155" i="1"/>
  <c r="A168" i="1"/>
  <c r="A159" i="14" s="1"/>
  <c r="J106" i="1"/>
  <c r="J80" i="1"/>
  <c r="J256" i="1"/>
  <c r="A248" i="1"/>
  <c r="A239" i="14" s="1"/>
  <c r="A226" i="1"/>
  <c r="A216" i="14" s="1"/>
  <c r="A198" i="1"/>
  <c r="A188" i="14" s="1"/>
  <c r="J170" i="1"/>
  <c r="J148" i="1"/>
  <c r="J100" i="1"/>
  <c r="G182" i="1"/>
  <c r="J252" i="1"/>
  <c r="J198" i="1"/>
  <c r="A160" i="1"/>
  <c r="A151" i="14" s="1"/>
  <c r="A134" i="1"/>
  <c r="A125" i="14" s="1"/>
  <c r="G120" i="13"/>
  <c r="E120" i="13" s="1"/>
  <c r="G112" i="13"/>
  <c r="E112" i="13" s="1"/>
  <c r="G104" i="13"/>
  <c r="G96" i="13"/>
  <c r="E96" i="13" s="1"/>
  <c r="G88" i="13"/>
  <c r="E88" i="13" s="1"/>
  <c r="G119" i="13"/>
  <c r="E119" i="13" s="1"/>
  <c r="G91" i="13"/>
  <c r="O91" i="13" s="1"/>
  <c r="G121" i="13"/>
  <c r="E121" i="13" s="1"/>
  <c r="G113" i="13"/>
  <c r="E113" i="13" s="1"/>
  <c r="G105" i="13"/>
  <c r="E105" i="13" s="1"/>
  <c r="G94" i="13"/>
  <c r="G98" i="13"/>
  <c r="E98" i="13" s="1"/>
  <c r="G106" i="13"/>
  <c r="E106" i="13" s="1"/>
  <c r="G102" i="13"/>
  <c r="E102" i="13" s="1"/>
  <c r="H112" i="1"/>
  <c r="A336" i="1"/>
  <c r="A308" i="1"/>
  <c r="J266" i="1"/>
  <c r="A278" i="1"/>
  <c r="A269" i="14" s="1"/>
  <c r="A266" i="1"/>
  <c r="A257" i="14" s="1"/>
  <c r="J216" i="1"/>
  <c r="A228" i="1"/>
  <c r="A218" i="14" s="1"/>
  <c r="A216" i="1"/>
  <c r="A206" i="14" s="1"/>
  <c r="A196" i="1"/>
  <c r="A186" i="14" s="1"/>
  <c r="A335" i="1"/>
  <c r="A307" i="1"/>
  <c r="J261" i="1"/>
  <c r="A265" i="1"/>
  <c r="A256" i="14" s="1"/>
  <c r="A249" i="1"/>
  <c r="A240" i="14" s="1"/>
  <c r="J215" i="1"/>
  <c r="J191" i="1"/>
  <c r="A199" i="1"/>
  <c r="A189" i="14" s="1"/>
  <c r="A333" i="1"/>
  <c r="A301" i="1"/>
  <c r="J263" i="1"/>
  <c r="A247" i="1"/>
  <c r="A238" i="14" s="1"/>
  <c r="J217" i="1"/>
  <c r="A225" i="1"/>
  <c r="A215" i="14" s="1"/>
  <c r="A197" i="1"/>
  <c r="A187" i="14" s="1"/>
  <c r="J161" i="1"/>
  <c r="J137" i="1"/>
  <c r="J115" i="1"/>
  <c r="J91" i="1"/>
  <c r="A139" i="1"/>
  <c r="A130" i="14" s="1"/>
  <c r="J264" i="1"/>
  <c r="J226" i="1"/>
  <c r="A194" i="1"/>
  <c r="A184" i="14" s="1"/>
  <c r="J140" i="1"/>
  <c r="J92" i="1"/>
  <c r="J276" i="1"/>
  <c r="J222" i="1"/>
  <c r="J144" i="1"/>
  <c r="A158" i="1"/>
  <c r="A149" i="14" s="1"/>
  <c r="A136" i="1"/>
  <c r="A127" i="14" s="1"/>
  <c r="J90" i="1"/>
  <c r="A302" i="1"/>
  <c r="A210" i="1"/>
  <c r="A200" i="14" s="1"/>
  <c r="J143" i="1"/>
  <c r="A146" i="1"/>
  <c r="A137" i="14" s="1"/>
  <c r="J116" i="1"/>
  <c r="J89" i="1"/>
  <c r="A298" i="1"/>
  <c r="A244" i="1"/>
  <c r="A235" i="14" s="1"/>
  <c r="A190" i="1"/>
  <c r="A180" i="14" s="1"/>
  <c r="J109" i="1"/>
  <c r="G108" i="13"/>
  <c r="G115" i="13"/>
  <c r="E115" i="13" s="1"/>
  <c r="G103" i="13"/>
  <c r="E103" i="13" s="1"/>
  <c r="G117" i="13"/>
  <c r="E117" i="13" s="1"/>
  <c r="G93" i="13"/>
  <c r="O93" i="13" s="1"/>
  <c r="G110" i="13"/>
  <c r="E110" i="13" s="1"/>
  <c r="P157" i="13"/>
  <c r="P84" i="13"/>
  <c r="P228" i="13"/>
  <c r="J260" i="13"/>
  <c r="B308" i="13"/>
  <c r="B238" i="13"/>
  <c r="B405" i="13"/>
  <c r="J259" i="13"/>
  <c r="J300" i="13"/>
  <c r="B228" i="13"/>
  <c r="B258" i="13"/>
  <c r="B384" i="13"/>
  <c r="B318" i="13"/>
  <c r="B406" i="13"/>
  <c r="J323" i="13"/>
  <c r="J249" i="13"/>
  <c r="B322" i="13"/>
  <c r="J266" i="13"/>
  <c r="J191" i="13"/>
  <c r="J118" i="13"/>
  <c r="J107" i="13"/>
  <c r="J105" i="13"/>
  <c r="J122" i="13"/>
  <c r="J92" i="13"/>
  <c r="B189" i="13"/>
  <c r="B187" i="13"/>
  <c r="B156" i="13"/>
  <c r="J89" i="13"/>
  <c r="B114" i="13"/>
  <c r="H117" i="1"/>
  <c r="G238" i="1"/>
  <c r="A312" i="1"/>
  <c r="J258" i="1"/>
  <c r="A274" i="1"/>
  <c r="A265" i="14" s="1"/>
  <c r="A254" i="1"/>
  <c r="A245" i="14" s="1"/>
  <c r="J212" i="1"/>
  <c r="A220" i="1"/>
  <c r="A210" i="14" s="1"/>
  <c r="A200" i="1"/>
  <c r="A190" i="14" s="1"/>
  <c r="A331" i="1"/>
  <c r="J277" i="1"/>
  <c r="A281" i="1"/>
  <c r="A272" i="14" s="1"/>
  <c r="J195" i="1"/>
  <c r="G181" i="1"/>
  <c r="A313" i="1"/>
  <c r="J255" i="1"/>
  <c r="A251" i="1"/>
  <c r="A242" i="14" s="1"/>
  <c r="J205" i="1"/>
  <c r="A201" i="1"/>
  <c r="A191" i="14" s="1"/>
  <c r="J157" i="1"/>
  <c r="A165" i="1"/>
  <c r="A156" i="14" s="1"/>
  <c r="A149" i="1"/>
  <c r="A140" i="14" s="1"/>
  <c r="J111" i="1"/>
  <c r="J268" i="1"/>
  <c r="A151" i="1"/>
  <c r="A142" i="14" s="1"/>
  <c r="J104" i="1"/>
  <c r="A272" i="1"/>
  <c r="A263" i="14" s="1"/>
  <c r="J135" i="1"/>
  <c r="J102" i="1"/>
  <c r="J260" i="1"/>
  <c r="J150" i="1"/>
  <c r="J112" i="1"/>
  <c r="A318" i="1"/>
  <c r="J218" i="1"/>
  <c r="J154" i="1"/>
  <c r="A162" i="1"/>
  <c r="A153" i="14" s="1"/>
  <c r="J94" i="1"/>
  <c r="A276" i="1"/>
  <c r="A267" i="14" s="1"/>
  <c r="J214" i="1"/>
  <c r="A150" i="1"/>
  <c r="A141" i="14" s="1"/>
  <c r="G116" i="13"/>
  <c r="E116" i="13" s="1"/>
  <c r="G111" i="13"/>
  <c r="G95" i="13"/>
  <c r="E95" i="13" s="1"/>
  <c r="G101" i="13"/>
  <c r="E101" i="13" s="1"/>
  <c r="G89" i="13"/>
  <c r="E89" i="13" s="1"/>
  <c r="G114" i="13"/>
  <c r="G90" i="13"/>
  <c r="E90" i="13" s="1"/>
  <c r="P156" i="13"/>
  <c r="P372" i="13"/>
  <c r="B239" i="13"/>
  <c r="B329" i="13"/>
  <c r="B261" i="13"/>
  <c r="B403" i="13"/>
  <c r="B300" i="13"/>
  <c r="B233" i="13"/>
  <c r="J316" i="13"/>
  <c r="B319" i="13"/>
  <c r="B335" i="13"/>
  <c r="J240" i="13"/>
  <c r="B390" i="13"/>
  <c r="B334" i="13"/>
  <c r="B251" i="13"/>
  <c r="B393" i="13"/>
  <c r="B394" i="13"/>
  <c r="B172" i="13"/>
  <c r="J176" i="13"/>
  <c r="B179" i="13"/>
  <c r="B105" i="13"/>
  <c r="B84" i="13"/>
  <c r="B161" i="13"/>
  <c r="J186" i="13"/>
  <c r="H85" i="1"/>
  <c r="R236" i="1"/>
  <c r="R183" i="1"/>
  <c r="H99" i="1"/>
  <c r="R182" i="1"/>
  <c r="A328" i="1"/>
  <c r="J274" i="1"/>
  <c r="G291" i="1"/>
  <c r="A315" i="1"/>
  <c r="J253" i="1"/>
  <c r="A257" i="1"/>
  <c r="A248" i="14" s="1"/>
  <c r="J211" i="1"/>
  <c r="G125" i="1"/>
  <c r="J279" i="1"/>
  <c r="A271" i="1"/>
  <c r="A262" i="14" s="1"/>
  <c r="J193" i="1"/>
  <c r="J153" i="1"/>
  <c r="A153" i="1"/>
  <c r="A144" i="14" s="1"/>
  <c r="A133" i="1"/>
  <c r="A124" i="14" s="1"/>
  <c r="J142" i="1"/>
  <c r="J248" i="1"/>
  <c r="J167" i="1"/>
  <c r="J113" i="1"/>
  <c r="J171" i="1"/>
  <c r="J101" i="1"/>
  <c r="J138" i="1"/>
  <c r="J105" i="1"/>
  <c r="A206" i="1"/>
  <c r="A196" i="14" s="1"/>
  <c r="J136" i="1"/>
  <c r="G92" i="13"/>
  <c r="E92" i="13" s="1"/>
  <c r="G107" i="13"/>
  <c r="E107" i="13" s="1"/>
  <c r="G87" i="13"/>
  <c r="G109" i="13"/>
  <c r="E109" i="13" s="1"/>
  <c r="G85" i="13"/>
  <c r="E85" i="13" s="1"/>
  <c r="G122" i="13"/>
  <c r="E122" i="13" s="1"/>
  <c r="P229" i="13"/>
  <c r="J257" i="13"/>
  <c r="J261" i="13"/>
  <c r="J228" i="13"/>
  <c r="B402" i="13"/>
  <c r="J312" i="13"/>
  <c r="J318" i="13"/>
  <c r="J262" i="13"/>
  <c r="J248" i="13"/>
  <c r="J251" i="13"/>
  <c r="J321" i="13"/>
  <c r="B266" i="13"/>
  <c r="J190" i="13"/>
  <c r="J179" i="13"/>
  <c r="J187" i="13"/>
  <c r="B186" i="13"/>
  <c r="B299" i="13"/>
  <c r="R126" i="1"/>
  <c r="G292" i="1"/>
  <c r="A304" i="1"/>
  <c r="J246" i="1"/>
  <c r="A258" i="1"/>
  <c r="A249" i="14" s="1"/>
  <c r="J204" i="1"/>
  <c r="G73" i="1"/>
  <c r="J273" i="1"/>
  <c r="A223" i="1"/>
  <c r="A213" i="14" s="1"/>
  <c r="A317" i="1"/>
  <c r="J247" i="1"/>
  <c r="A259" i="1"/>
  <c r="A250" i="14" s="1"/>
  <c r="J221" i="1"/>
  <c r="H100" i="1"/>
  <c r="J278" i="1"/>
  <c r="A246" i="1"/>
  <c r="A237" i="14" s="1"/>
  <c r="A208" i="1"/>
  <c r="A198" i="14" s="1"/>
  <c r="J257" i="1"/>
  <c r="J223" i="1"/>
  <c r="A279" i="1"/>
  <c r="A270" i="14" s="1"/>
  <c r="J201" i="1"/>
  <c r="A193" i="1"/>
  <c r="A183" i="14" s="1"/>
  <c r="A169" i="1"/>
  <c r="A160" i="14" s="1"/>
  <c r="A137" i="1"/>
  <c r="A128" i="14" s="1"/>
  <c r="G126" i="1"/>
  <c r="A154" i="1"/>
  <c r="A145" i="14" s="1"/>
  <c r="G290" i="1"/>
  <c r="A202" i="1"/>
  <c r="A192" i="14" s="1"/>
  <c r="A147" i="1"/>
  <c r="A138" i="14" s="1"/>
  <c r="A334" i="1"/>
  <c r="A172" i="1"/>
  <c r="A163" i="14" s="1"/>
  <c r="A135" i="1"/>
  <c r="A126" i="14" s="1"/>
  <c r="A314" i="1"/>
  <c r="A195" i="1"/>
  <c r="A185" i="14" s="1"/>
  <c r="G84" i="13"/>
  <c r="E84" i="13" s="1"/>
  <c r="G99" i="13"/>
  <c r="G83" i="13"/>
  <c r="E83" i="13" s="1"/>
  <c r="G118" i="13"/>
  <c r="E118" i="13" s="1"/>
  <c r="J329" i="13"/>
  <c r="J331" i="13"/>
  <c r="B312" i="13"/>
  <c r="J334" i="13"/>
  <c r="B395" i="13"/>
  <c r="B249" i="13"/>
  <c r="J156" i="13"/>
  <c r="J299" i="13"/>
  <c r="J250" i="1"/>
  <c r="J228" i="1"/>
  <c r="G237" i="1"/>
  <c r="J199" i="1"/>
  <c r="A325" i="1"/>
  <c r="A267" i="1"/>
  <c r="A258" i="14" s="1"/>
  <c r="A221" i="1"/>
  <c r="A211" i="14" s="1"/>
  <c r="A189" i="1"/>
  <c r="A179" i="14" s="1"/>
  <c r="A161" i="1"/>
  <c r="A152" i="14" s="1"/>
  <c r="J99" i="1"/>
  <c r="J114" i="1"/>
  <c r="A326" i="1"/>
  <c r="J162" i="1"/>
  <c r="A143" i="1"/>
  <c r="A134" i="14" s="1"/>
  <c r="A306" i="1"/>
  <c r="J166" i="1"/>
  <c r="A280" i="1"/>
  <c r="A271" i="14" s="1"/>
  <c r="A191" i="1"/>
  <c r="A181" i="14" s="1"/>
  <c r="A167" i="1"/>
  <c r="A158" i="14" s="1"/>
  <c r="J110" i="1"/>
  <c r="A260" i="1"/>
  <c r="A251" i="14" s="1"/>
  <c r="J163" i="1"/>
  <c r="J93" i="1"/>
  <c r="G86" i="13"/>
  <c r="P301" i="13"/>
  <c r="H113" i="1"/>
  <c r="A324" i="1"/>
  <c r="J267" i="1"/>
  <c r="A209" i="1"/>
  <c r="A199" i="14" s="1"/>
  <c r="A141" i="1"/>
  <c r="A132" i="14" s="1"/>
  <c r="A155" i="1"/>
  <c r="A146" i="14" s="1"/>
  <c r="J190" i="1"/>
  <c r="J85" i="1"/>
  <c r="J159" i="1"/>
  <c r="A330" i="1"/>
  <c r="L11" i="1"/>
  <c r="K11" i="13"/>
  <c r="P83" i="13"/>
  <c r="B305" i="13"/>
  <c r="B246" i="13"/>
  <c r="B321" i="13"/>
  <c r="B107" i="13"/>
  <c r="B177" i="13"/>
  <c r="B194" i="13"/>
  <c r="B164" i="13"/>
  <c r="J115" i="13"/>
  <c r="J134" i="1"/>
  <c r="A156" i="1"/>
  <c r="A147" i="14" s="1"/>
  <c r="G100" i="13"/>
  <c r="B259" i="13"/>
  <c r="J335" i="13"/>
  <c r="B262" i="13"/>
  <c r="B118" i="13"/>
  <c r="J177" i="13"/>
  <c r="J166" i="13"/>
  <c r="A262" i="1"/>
  <c r="A253" i="14" s="1"/>
  <c r="A299" i="1"/>
  <c r="A207" i="1"/>
  <c r="A197" i="14" s="1"/>
  <c r="J225" i="1"/>
  <c r="J141" i="1"/>
  <c r="J79" i="1"/>
  <c r="J194" i="1"/>
  <c r="J81" i="1"/>
  <c r="J202" i="1"/>
  <c r="A140" i="1"/>
  <c r="A131" i="14" s="1"/>
  <c r="A222" i="1"/>
  <c r="A212" i="14" s="1"/>
  <c r="D8" i="4"/>
  <c r="B331" i="13"/>
  <c r="B263" i="13"/>
  <c r="B190" i="13"/>
  <c r="J161" i="13"/>
  <c r="J83" i="13"/>
  <c r="G128" i="1"/>
  <c r="J196" i="1"/>
  <c r="A297" i="1"/>
  <c r="A213" i="1"/>
  <c r="A203" i="14" s="1"/>
  <c r="J168" i="1"/>
  <c r="J156" i="1"/>
  <c r="A252" i="1"/>
  <c r="A243" i="14" s="1"/>
  <c r="J164" i="1"/>
  <c r="J84" i="1"/>
  <c r="J152" i="1"/>
  <c r="G97" i="13"/>
  <c r="E97" i="13" s="1"/>
  <c r="B311" i="13"/>
  <c r="B372" i="13"/>
  <c r="B388" i="13"/>
  <c r="B240" i="13"/>
  <c r="B248" i="13"/>
  <c r="B115" i="13"/>
  <c r="B371" i="13"/>
  <c r="H115" i="1"/>
  <c r="A319" i="1"/>
  <c r="A255" i="1"/>
  <c r="A246" i="14" s="1"/>
  <c r="J95" i="1"/>
  <c r="J118" i="1"/>
  <c r="P300" i="13"/>
  <c r="O121" i="13"/>
  <c r="M121" i="13" s="1"/>
  <c r="J164" i="13"/>
  <c r="J84" i="13"/>
  <c r="B236" i="13"/>
  <c r="J114" i="13"/>
  <c r="F26" i="19"/>
  <c r="I26" i="19" s="1"/>
  <c r="F31" i="19"/>
  <c r="I31" i="19" s="1"/>
  <c r="F41" i="19"/>
  <c r="I41" i="19" s="1"/>
  <c r="F42" i="19"/>
  <c r="I42" i="19" s="1"/>
  <c r="F47" i="19"/>
  <c r="I47" i="19" s="1"/>
  <c r="F22" i="19"/>
  <c r="I22" i="19" s="1"/>
  <c r="F48" i="19"/>
  <c r="I48" i="19" s="1"/>
  <c r="F32" i="19"/>
  <c r="I32" i="19" s="1"/>
  <c r="F16" i="19"/>
  <c r="I16" i="19" s="1"/>
  <c r="K330" i="14"/>
  <c r="K334" i="14" s="1"/>
  <c r="H330" i="14"/>
  <c r="H334" i="14" s="1"/>
  <c r="J265" i="13" l="1"/>
  <c r="B396" i="13"/>
  <c r="B313" i="13"/>
  <c r="J192" i="13"/>
  <c r="J264" i="13"/>
  <c r="J167" i="13"/>
  <c r="J311" i="13"/>
  <c r="B317" i="13"/>
  <c r="B373" i="13"/>
  <c r="J180" i="13"/>
  <c r="J229" i="13"/>
  <c r="J239" i="13"/>
  <c r="J301" i="13"/>
  <c r="B383" i="13"/>
  <c r="J85" i="13"/>
  <c r="B104" i="13"/>
  <c r="B106" i="13"/>
  <c r="B90" i="13"/>
  <c r="B95" i="13"/>
  <c r="B192" i="13"/>
  <c r="B167" i="13"/>
  <c r="J95" i="13"/>
  <c r="J306" i="13"/>
  <c r="J99" i="13"/>
  <c r="J231" i="13"/>
  <c r="J254" i="13"/>
  <c r="B182" i="13"/>
  <c r="J162" i="13"/>
  <c r="B159" i="13"/>
  <c r="J303" i="13"/>
  <c r="J175" i="13"/>
  <c r="J315" i="13"/>
  <c r="J182" i="13"/>
  <c r="B175" i="13"/>
  <c r="N20" i="20"/>
  <c r="X15" i="20"/>
  <c r="M17" i="20" s="1"/>
  <c r="M63" i="20" s="1"/>
  <c r="L17" i="20"/>
  <c r="L63" i="20" s="1"/>
  <c r="B102" i="13"/>
  <c r="B96" i="13"/>
  <c r="J102" i="13"/>
  <c r="J96" i="13"/>
  <c r="B165" i="13"/>
  <c r="B174" i="13"/>
  <c r="B260" i="13"/>
  <c r="B185" i="13"/>
  <c r="J185" i="13"/>
  <c r="J155" i="13"/>
  <c r="B117" i="13"/>
  <c r="B92" i="13"/>
  <c r="B169" i="13"/>
  <c r="J307" i="13"/>
  <c r="B337" i="13"/>
  <c r="J169" i="13"/>
  <c r="B409" i="13"/>
  <c r="B178" i="13"/>
  <c r="J173" i="13"/>
  <c r="J103" i="13"/>
  <c r="J253" i="13"/>
  <c r="B400" i="13"/>
  <c r="B398" i="13"/>
  <c r="J328" i="13"/>
  <c r="B109" i="13"/>
  <c r="B108" i="13"/>
  <c r="B103" i="13"/>
  <c r="B328" i="13"/>
  <c r="J245" i="13"/>
  <c r="J181" i="13"/>
  <c r="B180" i="13"/>
  <c r="J101" i="13"/>
  <c r="B110" i="13"/>
  <c r="J178" i="13"/>
  <c r="J112" i="13"/>
  <c r="B91" i="13"/>
  <c r="B389" i="13"/>
  <c r="B387" i="13"/>
  <c r="B229" i="13"/>
  <c r="B399" i="13"/>
  <c r="J325" i="13"/>
  <c r="J110" i="13"/>
  <c r="J109" i="13"/>
  <c r="J90" i="13"/>
  <c r="J108" i="13"/>
  <c r="B173" i="13"/>
  <c r="B320" i="13"/>
  <c r="B391" i="13"/>
  <c r="J337" i="13"/>
  <c r="B253" i="13"/>
  <c r="S94" i="1"/>
  <c r="J171" i="13"/>
  <c r="J184" i="13"/>
  <c r="B302" i="13"/>
  <c r="B112" i="13"/>
  <c r="B379" i="13"/>
  <c r="B257" i="13"/>
  <c r="J157" i="13"/>
  <c r="B163" i="13"/>
  <c r="J324" i="13"/>
  <c r="J246" i="13"/>
  <c r="B231" i="13"/>
  <c r="B336" i="13"/>
  <c r="B252" i="13"/>
  <c r="B382" i="13"/>
  <c r="B101" i="13"/>
  <c r="J87" i="13"/>
  <c r="B325" i="13"/>
  <c r="J174" i="13"/>
  <c r="B245" i="13"/>
  <c r="J313" i="13"/>
  <c r="J243" i="13"/>
  <c r="B264" i="13"/>
  <c r="B99" i="13"/>
  <c r="B113" i="13"/>
  <c r="J163" i="13"/>
  <c r="J168" i="13"/>
  <c r="J319" i="13"/>
  <c r="B120" i="13"/>
  <c r="B168" i="13"/>
  <c r="B324" i="13"/>
  <c r="B307" i="13"/>
  <c r="B385" i="13"/>
  <c r="J247" i="13"/>
  <c r="B315" i="13"/>
  <c r="J326" i="13"/>
  <c r="B85" i="13"/>
  <c r="J113" i="13"/>
  <c r="B181" i="13"/>
  <c r="B97" i="13"/>
  <c r="B87" i="13"/>
  <c r="B256" i="13"/>
  <c r="B235" i="13"/>
  <c r="B241" i="13"/>
  <c r="B375" i="13"/>
  <c r="B326" i="13"/>
  <c r="J336" i="13"/>
  <c r="B171" i="13"/>
  <c r="B157" i="13"/>
  <c r="J94" i="13"/>
  <c r="J120" i="13"/>
  <c r="B184" i="13"/>
  <c r="J91" i="13"/>
  <c r="J97" i="13"/>
  <c r="J159" i="13"/>
  <c r="J252" i="13"/>
  <c r="J256" i="13"/>
  <c r="J235" i="13"/>
  <c r="J317" i="13"/>
  <c r="J241" i="13"/>
  <c r="B247" i="13"/>
  <c r="B303" i="13"/>
  <c r="B243" i="13"/>
  <c r="B301" i="13"/>
  <c r="B254" i="13"/>
  <c r="B401" i="13"/>
  <c r="B408" i="13"/>
  <c r="B397" i="13"/>
  <c r="J63" i="1"/>
  <c r="G63" i="1" s="1"/>
  <c r="K63" i="1" s="1"/>
  <c r="B52" i="14" s="1"/>
  <c r="B100" i="13"/>
  <c r="B333" i="13"/>
  <c r="B306" i="13"/>
  <c r="B121" i="13"/>
  <c r="J188" i="13"/>
  <c r="B191" i="13"/>
  <c r="B250" i="13"/>
  <c r="B323" i="13"/>
  <c r="B227" i="13"/>
  <c r="B392" i="13"/>
  <c r="J244" i="13"/>
  <c r="J338" i="13"/>
  <c r="J258" i="13"/>
  <c r="J116" i="13"/>
  <c r="J250" i="13"/>
  <c r="B407" i="13"/>
  <c r="B155" i="13"/>
  <c r="B193" i="13"/>
  <c r="J194" i="13"/>
  <c r="B176" i="13"/>
  <c r="J322" i="13"/>
  <c r="B330" i="13"/>
  <c r="B377" i="13"/>
  <c r="J333" i="13"/>
  <c r="B380" i="13"/>
  <c r="J332" i="13"/>
  <c r="B83" i="13"/>
  <c r="C119" i="13"/>
  <c r="D119" i="13" s="1"/>
  <c r="B89" i="13"/>
  <c r="J117" i="13"/>
  <c r="B122" i="13"/>
  <c r="B119" i="13"/>
  <c r="J172" i="13"/>
  <c r="J234" i="13"/>
  <c r="B244" i="13"/>
  <c r="J305" i="13"/>
  <c r="J236" i="13"/>
  <c r="B332" i="13"/>
  <c r="J227" i="13"/>
  <c r="J193" i="13"/>
  <c r="J189" i="13"/>
  <c r="B116" i="13"/>
  <c r="B162" i="13"/>
  <c r="J119" i="13"/>
  <c r="B338" i="13"/>
  <c r="B378" i="13"/>
  <c r="J320" i="13"/>
  <c r="B381" i="13"/>
  <c r="B265" i="13"/>
  <c r="J308" i="13"/>
  <c r="B404" i="13"/>
  <c r="J121" i="13"/>
  <c r="B188" i="13"/>
  <c r="J106" i="13"/>
  <c r="J104" i="13"/>
  <c r="J100" i="13"/>
  <c r="B410" i="13"/>
  <c r="B234" i="13"/>
  <c r="J263" i="13"/>
  <c r="B316" i="13"/>
  <c r="J330" i="13"/>
  <c r="J233" i="13"/>
  <c r="S80" i="1"/>
  <c r="T134" i="1"/>
  <c r="S134" i="1"/>
  <c r="T80" i="1"/>
  <c r="J51" i="1"/>
  <c r="K216" i="1" s="1"/>
  <c r="J44" i="1"/>
  <c r="B209" i="1" s="1"/>
  <c r="B160" i="13"/>
  <c r="L93" i="13"/>
  <c r="J165" i="13"/>
  <c r="B386" i="13"/>
  <c r="B98" i="13"/>
  <c r="J232" i="13"/>
  <c r="J57" i="1"/>
  <c r="B330" i="1" s="1"/>
  <c r="B237" i="13"/>
  <c r="J98" i="13"/>
  <c r="B376" i="13"/>
  <c r="J170" i="13"/>
  <c r="B242" i="13"/>
  <c r="B232" i="13"/>
  <c r="J242" i="13"/>
  <c r="O89" i="13"/>
  <c r="M89" i="13" s="1"/>
  <c r="B93" i="13"/>
  <c r="J304" i="13"/>
  <c r="J93" i="13"/>
  <c r="B309" i="13"/>
  <c r="J237" i="13"/>
  <c r="J314" i="13"/>
  <c r="B304" i="13"/>
  <c r="B314" i="13"/>
  <c r="J88" i="13"/>
  <c r="T133" i="1"/>
  <c r="B88" i="13"/>
  <c r="B170" i="13"/>
  <c r="J160" i="13"/>
  <c r="J309" i="13"/>
  <c r="B111" i="13"/>
  <c r="J310" i="13"/>
  <c r="J59" i="1"/>
  <c r="B332" i="1" s="1"/>
  <c r="J40" i="1"/>
  <c r="K259" i="1" s="1"/>
  <c r="I63" i="13"/>
  <c r="S133" i="1"/>
  <c r="B310" i="13"/>
  <c r="J327" i="13"/>
  <c r="B94" i="13"/>
  <c r="J255" i="13"/>
  <c r="J238" i="13"/>
  <c r="B183" i="13"/>
  <c r="B327" i="13"/>
  <c r="J111" i="13"/>
  <c r="B255" i="13"/>
  <c r="B166" i="13"/>
  <c r="J183" i="13"/>
  <c r="T79" i="1"/>
  <c r="S79" i="1"/>
  <c r="B86" i="13"/>
  <c r="J158" i="13"/>
  <c r="J230" i="13"/>
  <c r="B374" i="13"/>
  <c r="B230" i="13"/>
  <c r="B158" i="13"/>
  <c r="J86" i="13"/>
  <c r="J302" i="13"/>
  <c r="L26" i="13"/>
  <c r="N26" i="13" s="1"/>
  <c r="J34" i="1"/>
  <c r="K199" i="1" s="1"/>
  <c r="J50" i="1"/>
  <c r="G50" i="1" s="1"/>
  <c r="K50" i="1" s="1"/>
  <c r="C39" i="14" s="1"/>
  <c r="J24" i="1"/>
  <c r="G24" i="1" s="1"/>
  <c r="O105" i="13"/>
  <c r="O112" i="13"/>
  <c r="M112" i="13" s="1"/>
  <c r="J26" i="1"/>
  <c r="G26" i="1" s="1"/>
  <c r="K26" i="1" s="1"/>
  <c r="J56" i="1"/>
  <c r="B329" i="1" s="1"/>
  <c r="J47" i="1"/>
  <c r="B266" i="1" s="1"/>
  <c r="J33" i="1"/>
  <c r="K252" i="1" s="1"/>
  <c r="J36" i="1"/>
  <c r="B309" i="1" s="1"/>
  <c r="J48" i="1"/>
  <c r="B321" i="1" s="1"/>
  <c r="J58" i="1"/>
  <c r="K167" i="1" s="1"/>
  <c r="J38" i="1"/>
  <c r="G38" i="1" s="1"/>
  <c r="K38" i="1" s="1"/>
  <c r="D27" i="14" s="1"/>
  <c r="J49" i="1"/>
  <c r="G49" i="1" s="1"/>
  <c r="K49" i="1" s="1"/>
  <c r="C38" i="14" s="1"/>
  <c r="J39" i="1"/>
  <c r="K148" i="1" s="1"/>
  <c r="C20" i="4"/>
  <c r="D20" i="4" s="1"/>
  <c r="E20" i="4" s="1"/>
  <c r="F20" i="4" s="1"/>
  <c r="G20" i="4" s="1"/>
  <c r="H20" i="4" s="1"/>
  <c r="I20" i="4" s="1"/>
  <c r="J20" i="4" s="1"/>
  <c r="K20" i="4" s="1"/>
  <c r="J31" i="1"/>
  <c r="K196" i="1" s="1"/>
  <c r="K269" i="1"/>
  <c r="B276" i="1"/>
  <c r="O120" i="13"/>
  <c r="M120" i="13" s="1"/>
  <c r="J42" i="1"/>
  <c r="O98" i="13"/>
  <c r="M98" i="13" s="1"/>
  <c r="K282" i="1"/>
  <c r="J45" i="1"/>
  <c r="J29" i="1"/>
  <c r="J46" i="1"/>
  <c r="B211" i="1" s="1"/>
  <c r="J60" i="1"/>
  <c r="H82" i="4"/>
  <c r="H84" i="4" s="1"/>
  <c r="B259" i="1"/>
  <c r="K205" i="1"/>
  <c r="C78" i="4"/>
  <c r="H78" i="4" s="1"/>
  <c r="H77" i="4"/>
  <c r="P105" i="1"/>
  <c r="Q105" i="1" s="1"/>
  <c r="P88" i="1"/>
  <c r="Q88" i="1" s="1"/>
  <c r="Q80" i="1"/>
  <c r="P102" i="1"/>
  <c r="Q102" i="1" s="1"/>
  <c r="P100" i="1"/>
  <c r="N100" i="1" s="1"/>
  <c r="P81" i="1"/>
  <c r="P101" i="1"/>
  <c r="N101" i="1" s="1"/>
  <c r="P118" i="1"/>
  <c r="Q118" i="1" s="1"/>
  <c r="P109" i="1"/>
  <c r="Q109" i="1" s="1"/>
  <c r="P108" i="1"/>
  <c r="Q108" i="1" s="1"/>
  <c r="P106" i="1"/>
  <c r="H160" i="1" s="1"/>
  <c r="J25" i="1"/>
  <c r="J41" i="1"/>
  <c r="J55" i="1"/>
  <c r="J30" i="1"/>
  <c r="J61" i="1"/>
  <c r="J53" i="1"/>
  <c r="J54" i="1"/>
  <c r="J37" i="1"/>
  <c r="J52" i="1"/>
  <c r="B217" i="1" s="1"/>
  <c r="J32" i="1"/>
  <c r="J43" i="1"/>
  <c r="K152" i="1" s="1"/>
  <c r="J35" i="1"/>
  <c r="J27" i="1"/>
  <c r="C122" i="13"/>
  <c r="D122" i="13" s="1"/>
  <c r="O115" i="13"/>
  <c r="M115" i="13" s="1"/>
  <c r="O113" i="13"/>
  <c r="M113" i="13" s="1"/>
  <c r="O110" i="13"/>
  <c r="M110" i="13" s="1"/>
  <c r="C101" i="13"/>
  <c r="D101" i="13" s="1"/>
  <c r="B118" i="1"/>
  <c r="J28" i="1"/>
  <c r="K106" i="1"/>
  <c r="O83" i="13"/>
  <c r="M83" i="13" s="1"/>
  <c r="O103" i="13"/>
  <c r="O96" i="13"/>
  <c r="M96" i="13" s="1"/>
  <c r="J62" i="1"/>
  <c r="G62" i="1" s="1"/>
  <c r="C116" i="13"/>
  <c r="D116" i="13" s="1"/>
  <c r="C103" i="13"/>
  <c r="D103" i="13" s="1"/>
  <c r="C89" i="13"/>
  <c r="D89" i="13" s="1"/>
  <c r="O119" i="13"/>
  <c r="G191" i="13" s="1"/>
  <c r="C120" i="13"/>
  <c r="D120" i="13" s="1"/>
  <c r="O92" i="13"/>
  <c r="M92" i="13" s="1"/>
  <c r="C109" i="13"/>
  <c r="D109" i="13" s="1"/>
  <c r="O101" i="13"/>
  <c r="L101" i="13" s="1"/>
  <c r="O90" i="13"/>
  <c r="O95" i="13"/>
  <c r="M95" i="13" s="1"/>
  <c r="C85" i="13"/>
  <c r="D85" i="13" s="1"/>
  <c r="O88" i="13"/>
  <c r="C98" i="13"/>
  <c r="D98" i="13" s="1"/>
  <c r="C110" i="13"/>
  <c r="D110" i="13" s="1"/>
  <c r="O106" i="13"/>
  <c r="C88" i="13"/>
  <c r="D88" i="13" s="1"/>
  <c r="C102" i="13"/>
  <c r="D102" i="13" s="1"/>
  <c r="O109" i="13"/>
  <c r="M109" i="13" s="1"/>
  <c r="C84" i="13"/>
  <c r="D84" i="13" s="1"/>
  <c r="C117" i="13"/>
  <c r="D117" i="13" s="1"/>
  <c r="O97" i="13"/>
  <c r="G169" i="13" s="1"/>
  <c r="C113" i="13"/>
  <c r="D113" i="13" s="1"/>
  <c r="G193" i="13"/>
  <c r="C193" i="13" s="1"/>
  <c r="D193" i="13" s="1"/>
  <c r="C105" i="13"/>
  <c r="D105" i="13" s="1"/>
  <c r="C90" i="13"/>
  <c r="D90" i="13" s="1"/>
  <c r="C95" i="13"/>
  <c r="D95" i="13" s="1"/>
  <c r="N23" i="13"/>
  <c r="E86" i="13"/>
  <c r="C86" i="13"/>
  <c r="D86" i="13" s="1"/>
  <c r="O86" i="13"/>
  <c r="E87" i="13"/>
  <c r="C87" i="13"/>
  <c r="D87" i="13" s="1"/>
  <c r="O87" i="13"/>
  <c r="M91" i="13"/>
  <c r="G163" i="13"/>
  <c r="C17" i="4"/>
  <c r="C22" i="4"/>
  <c r="D22" i="4" s="1"/>
  <c r="E22" i="4" s="1"/>
  <c r="F22" i="4" s="1"/>
  <c r="G22" i="4" s="1"/>
  <c r="H22" i="4" s="1"/>
  <c r="I22" i="4" s="1"/>
  <c r="J22" i="4" s="1"/>
  <c r="K22" i="4" s="1"/>
  <c r="C30" i="4"/>
  <c r="D30" i="4" s="1"/>
  <c r="E30" i="4" s="1"/>
  <c r="F30" i="4" s="1"/>
  <c r="G30" i="4" s="1"/>
  <c r="H30" i="4" s="1"/>
  <c r="I30" i="4" s="1"/>
  <c r="J30" i="4" s="1"/>
  <c r="K30" i="4" s="1"/>
  <c r="C25" i="4"/>
  <c r="D25" i="4" s="1"/>
  <c r="C19" i="4"/>
  <c r="C18" i="4"/>
  <c r="O18" i="4" s="1"/>
  <c r="C33" i="4"/>
  <c r="C28" i="4"/>
  <c r="D28" i="4" s="1"/>
  <c r="E28" i="4" s="1"/>
  <c r="F28" i="4" s="1"/>
  <c r="G28" i="4" s="1"/>
  <c r="H28" i="4" s="1"/>
  <c r="I28" i="4" s="1"/>
  <c r="J28" i="4" s="1"/>
  <c r="K28" i="4" s="1"/>
  <c r="C27" i="4"/>
  <c r="C23" i="4"/>
  <c r="O23" i="4" s="1"/>
  <c r="C29" i="4"/>
  <c r="D29" i="4" s="1"/>
  <c r="E29" i="4" s="1"/>
  <c r="F29" i="4" s="1"/>
  <c r="G29" i="4" s="1"/>
  <c r="H29" i="4" s="1"/>
  <c r="I29" i="4" s="1"/>
  <c r="J29" i="4" s="1"/>
  <c r="K29" i="4" s="1"/>
  <c r="C34" i="4"/>
  <c r="D34" i="4" s="1"/>
  <c r="E34" i="4" s="1"/>
  <c r="F34" i="4" s="1"/>
  <c r="G34" i="4" s="1"/>
  <c r="H34" i="4" s="1"/>
  <c r="I34" i="4" s="1"/>
  <c r="J34" i="4" s="1"/>
  <c r="K34" i="4" s="1"/>
  <c r="C21" i="4"/>
  <c r="O21" i="4" s="1"/>
  <c r="C32" i="4"/>
  <c r="O32" i="4" s="1"/>
  <c r="C31" i="4"/>
  <c r="O31" i="4" s="1"/>
  <c r="I99" i="1"/>
  <c r="F99" i="1"/>
  <c r="P99" i="1"/>
  <c r="E114" i="13"/>
  <c r="C114" i="13"/>
  <c r="D114" i="13" s="1"/>
  <c r="E111" i="13"/>
  <c r="C111" i="13"/>
  <c r="D111" i="13" s="1"/>
  <c r="O111" i="13"/>
  <c r="F92" i="1"/>
  <c r="I92" i="1"/>
  <c r="P92" i="1"/>
  <c r="I79" i="1"/>
  <c r="F79" i="1"/>
  <c r="O114" i="13"/>
  <c r="E94" i="13"/>
  <c r="O94" i="13"/>
  <c r="C94" i="13"/>
  <c r="D94" i="13" s="1"/>
  <c r="E91" i="13"/>
  <c r="C91" i="13"/>
  <c r="D91" i="13" s="1"/>
  <c r="E104" i="13"/>
  <c r="C104" i="13"/>
  <c r="D104" i="13" s="1"/>
  <c r="O104" i="13"/>
  <c r="Q83" i="1"/>
  <c r="N83" i="1"/>
  <c r="H137" i="1"/>
  <c r="E100" i="13"/>
  <c r="O100" i="13"/>
  <c r="C100" i="13"/>
  <c r="D100" i="13" s="1"/>
  <c r="M93" i="13"/>
  <c r="G165" i="13"/>
  <c r="E99" i="13"/>
  <c r="C99" i="13"/>
  <c r="D99" i="13" s="1"/>
  <c r="O99" i="13"/>
  <c r="E93" i="13"/>
  <c r="C93" i="13"/>
  <c r="D93" i="13" s="1"/>
  <c r="E108" i="13"/>
  <c r="O108" i="13"/>
  <c r="C108" i="13"/>
  <c r="D108" i="13" s="1"/>
  <c r="I112" i="1"/>
  <c r="F112" i="1"/>
  <c r="P112" i="1"/>
  <c r="I110" i="1"/>
  <c r="F110" i="1"/>
  <c r="F107" i="1"/>
  <c r="I107" i="1"/>
  <c r="I103" i="1"/>
  <c r="F103" i="1"/>
  <c r="I98" i="1"/>
  <c r="F98" i="1"/>
  <c r="F94" i="1"/>
  <c r="I94" i="1"/>
  <c r="F90" i="1"/>
  <c r="I90" i="1"/>
  <c r="I86" i="1"/>
  <c r="F86" i="1"/>
  <c r="I113" i="1"/>
  <c r="F113" i="1"/>
  <c r="P419" i="13"/>
  <c r="P420" i="13"/>
  <c r="P422" i="13"/>
  <c r="Q419" i="13"/>
  <c r="Q420" i="13"/>
  <c r="Q422" i="13"/>
  <c r="Q114" i="1"/>
  <c r="N114" i="1"/>
  <c r="O116" i="13"/>
  <c r="I419" i="13"/>
  <c r="I422" i="13"/>
  <c r="I420" i="13"/>
  <c r="F116" i="1"/>
  <c r="I116" i="1"/>
  <c r="I87" i="1"/>
  <c r="F87" i="1"/>
  <c r="I111" i="1"/>
  <c r="F111" i="1"/>
  <c r="I108" i="1"/>
  <c r="F108" i="1"/>
  <c r="I96" i="1"/>
  <c r="F96" i="1"/>
  <c r="R419" i="13"/>
  <c r="R420" i="13"/>
  <c r="R422" i="13"/>
  <c r="P116" i="1"/>
  <c r="I114" i="1"/>
  <c r="F114" i="1"/>
  <c r="I97" i="1"/>
  <c r="F97" i="1"/>
  <c r="I82" i="1"/>
  <c r="F82" i="1"/>
  <c r="H168" i="1"/>
  <c r="I84" i="1"/>
  <c r="F84" i="1"/>
  <c r="I81" i="1"/>
  <c r="F81" i="1"/>
  <c r="I104" i="1"/>
  <c r="F104" i="1"/>
  <c r="I83" i="1"/>
  <c r="F83" i="1"/>
  <c r="P98" i="1"/>
  <c r="P96" i="1"/>
  <c r="P94" i="1"/>
  <c r="T94" i="1" s="1"/>
  <c r="P90" i="1"/>
  <c r="P86" i="1"/>
  <c r="I54" i="19"/>
  <c r="I115" i="1"/>
  <c r="F115" i="1"/>
  <c r="C83" i="13"/>
  <c r="D83" i="13" s="1"/>
  <c r="C96" i="13"/>
  <c r="D96" i="13" s="1"/>
  <c r="O117" i="13"/>
  <c r="L115" i="13"/>
  <c r="C115" i="13"/>
  <c r="D115" i="13" s="1"/>
  <c r="I100" i="1"/>
  <c r="F100" i="1"/>
  <c r="L422" i="13"/>
  <c r="L419" i="13"/>
  <c r="L420" i="13"/>
  <c r="C92" i="13"/>
  <c r="D92" i="13" s="1"/>
  <c r="O420" i="13"/>
  <c r="O419" i="13"/>
  <c r="O422" i="13"/>
  <c r="C121" i="13"/>
  <c r="D121" i="13" s="1"/>
  <c r="L121" i="13"/>
  <c r="L112" i="13"/>
  <c r="C118" i="13"/>
  <c r="D118" i="13" s="1"/>
  <c r="O122" i="13"/>
  <c r="P110" i="1"/>
  <c r="P107" i="1"/>
  <c r="I118" i="1"/>
  <c r="F118" i="1"/>
  <c r="I95" i="1"/>
  <c r="F95" i="1"/>
  <c r="I93" i="1"/>
  <c r="F93" i="1"/>
  <c r="I89" i="1"/>
  <c r="F89" i="1"/>
  <c r="I91" i="1"/>
  <c r="F91" i="1"/>
  <c r="S422" i="13"/>
  <c r="S420" i="13"/>
  <c r="S419" i="13"/>
  <c r="I105" i="1"/>
  <c r="F105" i="1"/>
  <c r="I101" i="1"/>
  <c r="F101" i="1"/>
  <c r="O84" i="13"/>
  <c r="C107" i="13"/>
  <c r="D107" i="13" s="1"/>
  <c r="O102" i="13"/>
  <c r="C97" i="13"/>
  <c r="D97" i="13" s="1"/>
  <c r="P103" i="1"/>
  <c r="L89" i="13"/>
  <c r="C112" i="13"/>
  <c r="D112" i="13" s="1"/>
  <c r="O85" i="13"/>
  <c r="I85" i="1"/>
  <c r="F85" i="1"/>
  <c r="C106" i="13"/>
  <c r="D106" i="13" s="1"/>
  <c r="I117" i="1"/>
  <c r="F117" i="1"/>
  <c r="O107" i="13"/>
  <c r="O118" i="13"/>
  <c r="I109" i="1"/>
  <c r="F109" i="1"/>
  <c r="K420" i="13"/>
  <c r="K419" i="13"/>
  <c r="K422" i="13"/>
  <c r="N419" i="13"/>
  <c r="N422" i="13"/>
  <c r="N420" i="13"/>
  <c r="P111" i="1"/>
  <c r="P84" i="1"/>
  <c r="T84" i="1" s="1"/>
  <c r="P117" i="1"/>
  <c r="P115" i="1"/>
  <c r="P113" i="1"/>
  <c r="P104" i="1"/>
  <c r="I88" i="1"/>
  <c r="F88" i="1"/>
  <c r="P85" i="1"/>
  <c r="F106" i="1"/>
  <c r="I106" i="1"/>
  <c r="I102" i="1"/>
  <c r="F102" i="1"/>
  <c r="P82" i="1"/>
  <c r="P97" i="1"/>
  <c r="P95" i="1"/>
  <c r="P93" i="1"/>
  <c r="P91" i="1"/>
  <c r="P89" i="1"/>
  <c r="T89" i="1" s="1"/>
  <c r="P87" i="1"/>
  <c r="F80" i="1"/>
  <c r="I80" i="1"/>
  <c r="G192" i="13" l="1"/>
  <c r="B213" i="1"/>
  <c r="B199" i="1"/>
  <c r="B313" i="1"/>
  <c r="B99" i="1"/>
  <c r="K118" i="1"/>
  <c r="B282" i="1"/>
  <c r="B168" i="1"/>
  <c r="B172" i="1"/>
  <c r="B336" i="1"/>
  <c r="K267" i="1"/>
  <c r="K172" i="1"/>
  <c r="B228" i="1"/>
  <c r="K224" i="1"/>
  <c r="B263" i="1"/>
  <c r="K228" i="1"/>
  <c r="B250" i="1"/>
  <c r="K95" i="1"/>
  <c r="K258" i="1"/>
  <c r="B311" i="1"/>
  <c r="B203" i="1"/>
  <c r="K147" i="1"/>
  <c r="G184" i="13"/>
  <c r="E184" i="13" s="1"/>
  <c r="B147" i="1"/>
  <c r="K93" i="1"/>
  <c r="N17" i="20"/>
  <c r="N63" i="20" s="1"/>
  <c r="B105" i="1"/>
  <c r="C105" i="1"/>
  <c r="C95" i="14" s="1"/>
  <c r="D15" i="14"/>
  <c r="B15" i="14"/>
  <c r="Q81" i="1"/>
  <c r="T81" i="1"/>
  <c r="B93" i="1"/>
  <c r="B106" i="1"/>
  <c r="N63" i="13"/>
  <c r="B26" i="4" s="1"/>
  <c r="B35" i="4" s="1"/>
  <c r="G40" i="1"/>
  <c r="K40" i="1" s="1"/>
  <c r="D29" i="14" s="1"/>
  <c r="F119" i="13"/>
  <c r="L63" i="13"/>
  <c r="K160" i="1"/>
  <c r="K105" i="1"/>
  <c r="K159" i="1"/>
  <c r="B159" i="1"/>
  <c r="B160" i="1"/>
  <c r="B215" i="1"/>
  <c r="K201" i="1"/>
  <c r="K255" i="1"/>
  <c r="B331" i="1"/>
  <c r="B324" i="1"/>
  <c r="K215" i="1"/>
  <c r="G51" i="1"/>
  <c r="K51" i="1" s="1"/>
  <c r="C40" i="14" s="1"/>
  <c r="K156" i="1"/>
  <c r="B114" i="1"/>
  <c r="K153" i="1"/>
  <c r="B224" i="1"/>
  <c r="B320" i="1"/>
  <c r="K263" i="1"/>
  <c r="K253" i="1"/>
  <c r="B317" i="1"/>
  <c r="B212" i="1"/>
  <c r="G59" i="1"/>
  <c r="K59" i="1" s="1"/>
  <c r="C48" i="14" s="1"/>
  <c r="N93" i="13"/>
  <c r="K168" i="1"/>
  <c r="K114" i="1"/>
  <c r="B102" i="1"/>
  <c r="B201" i="1"/>
  <c r="B89" i="1"/>
  <c r="B255" i="1"/>
  <c r="K266" i="1"/>
  <c r="K212" i="1"/>
  <c r="K209" i="1"/>
  <c r="K278" i="1"/>
  <c r="B278" i="1"/>
  <c r="G44" i="1"/>
  <c r="K44" i="1" s="1"/>
  <c r="C33" i="14" s="1"/>
  <c r="M63" i="1"/>
  <c r="L52" i="14" s="1"/>
  <c r="M52" i="14" s="1"/>
  <c r="N118" i="1"/>
  <c r="T118" i="1"/>
  <c r="M50" i="1"/>
  <c r="L39" i="14" s="1"/>
  <c r="M39" i="14" s="1"/>
  <c r="M49" i="1"/>
  <c r="L38" i="14" s="1"/>
  <c r="M38" i="14" s="1"/>
  <c r="N102" i="1"/>
  <c r="M38" i="1"/>
  <c r="L27" i="14" s="1"/>
  <c r="M27" i="14" s="1"/>
  <c r="M26" i="1"/>
  <c r="B275" i="1"/>
  <c r="B216" i="1"/>
  <c r="K270" i="1"/>
  <c r="B270" i="1"/>
  <c r="B269" i="1"/>
  <c r="B323" i="1"/>
  <c r="B104" i="1"/>
  <c r="B153" i="1"/>
  <c r="K99" i="1"/>
  <c r="K149" i="1"/>
  <c r="B95" i="1"/>
  <c r="B149" i="1"/>
  <c r="B205" i="1"/>
  <c r="K257" i="1"/>
  <c r="B257" i="1"/>
  <c r="K143" i="1"/>
  <c r="K89" i="1"/>
  <c r="B143" i="1"/>
  <c r="B307" i="1"/>
  <c r="K198" i="1"/>
  <c r="B252" i="1"/>
  <c r="K250" i="1"/>
  <c r="B191" i="1"/>
  <c r="B214" i="1"/>
  <c r="B322" i="1"/>
  <c r="B299" i="1"/>
  <c r="K135" i="1"/>
  <c r="B222" i="1"/>
  <c r="B158" i="1"/>
  <c r="K222" i="1"/>
  <c r="K191" i="1"/>
  <c r="K158" i="1"/>
  <c r="B135" i="1"/>
  <c r="K166" i="1"/>
  <c r="K112" i="1"/>
  <c r="B81" i="1"/>
  <c r="G57" i="1"/>
  <c r="K57" i="1" s="1"/>
  <c r="C46" i="14" s="1"/>
  <c r="B166" i="1"/>
  <c r="B268" i="1"/>
  <c r="B245" i="1"/>
  <c r="B112" i="1"/>
  <c r="K268" i="1"/>
  <c r="K276" i="1"/>
  <c r="K81" i="1"/>
  <c r="G161" i="13"/>
  <c r="O161" i="13" s="1"/>
  <c r="K104" i="1"/>
  <c r="K214" i="1"/>
  <c r="K245" i="1"/>
  <c r="B113" i="1"/>
  <c r="K277" i="1"/>
  <c r="B277" i="1"/>
  <c r="K203" i="1"/>
  <c r="K223" i="1"/>
  <c r="B223" i="1"/>
  <c r="B148" i="1"/>
  <c r="B258" i="1"/>
  <c r="B304" i="1"/>
  <c r="K213" i="1"/>
  <c r="K94" i="1"/>
  <c r="K204" i="1"/>
  <c r="B267" i="1"/>
  <c r="B312" i="1"/>
  <c r="B204" i="1"/>
  <c r="B221" i="1"/>
  <c r="B94" i="1"/>
  <c r="K221" i="1"/>
  <c r="B165" i="1"/>
  <c r="K275" i="1"/>
  <c r="G34" i="1"/>
  <c r="K34" i="1" s="1"/>
  <c r="B23" i="14" s="1"/>
  <c r="B253" i="1"/>
  <c r="L120" i="13"/>
  <c r="G187" i="13"/>
  <c r="C187" i="13" s="1"/>
  <c r="D187" i="13" s="1"/>
  <c r="F90" i="13"/>
  <c r="F113" i="13"/>
  <c r="F88" i="13"/>
  <c r="F110" i="13"/>
  <c r="F98" i="13"/>
  <c r="L91" i="13"/>
  <c r="N91" i="13" s="1"/>
  <c r="F116" i="13"/>
  <c r="L103" i="13"/>
  <c r="N103" i="13" s="1"/>
  <c r="F95" i="13"/>
  <c r="F105" i="13"/>
  <c r="L105" i="13"/>
  <c r="N105" i="13" s="1"/>
  <c r="F85" i="13"/>
  <c r="F109" i="13"/>
  <c r="F89" i="13"/>
  <c r="F103" i="13"/>
  <c r="F101" i="13"/>
  <c r="F122" i="13"/>
  <c r="B200" i="1"/>
  <c r="G35" i="1"/>
  <c r="K35" i="1" s="1"/>
  <c r="D24" i="14" s="1"/>
  <c r="G32" i="1"/>
  <c r="K32" i="1" s="1"/>
  <c r="C21" i="14" s="1"/>
  <c r="K92" i="1"/>
  <c r="G37" i="1"/>
  <c r="K37" i="1" s="1"/>
  <c r="D26" i="14" s="1"/>
  <c r="G53" i="1"/>
  <c r="K53" i="1" s="1"/>
  <c r="I42" i="14" s="1"/>
  <c r="G30" i="1"/>
  <c r="K30" i="1" s="1"/>
  <c r="C19" i="14" s="1"/>
  <c r="K150" i="1"/>
  <c r="G41" i="1"/>
  <c r="K41" i="1" s="1"/>
  <c r="D30" i="14" s="1"/>
  <c r="B134" i="1"/>
  <c r="G25" i="1"/>
  <c r="K25" i="1" s="1"/>
  <c r="G60" i="1"/>
  <c r="K60" i="1" s="1"/>
  <c r="C49" i="14" s="1"/>
  <c r="B138" i="1"/>
  <c r="G29" i="1"/>
  <c r="K29" i="1" s="1"/>
  <c r="B18" i="14" s="1"/>
  <c r="K261" i="1"/>
  <c r="G42" i="1"/>
  <c r="K42" i="1" s="1"/>
  <c r="D31" i="14" s="1"/>
  <c r="G58" i="1"/>
  <c r="C113" i="1" s="1"/>
  <c r="G36" i="1"/>
  <c r="K36" i="1" s="1"/>
  <c r="G25" i="14" s="1"/>
  <c r="G53" i="14" s="1"/>
  <c r="G47" i="1"/>
  <c r="K47" i="1" s="1"/>
  <c r="C36" i="14" s="1"/>
  <c r="K137" i="1"/>
  <c r="G28" i="1"/>
  <c r="K28" i="1" s="1"/>
  <c r="C17" i="14" s="1"/>
  <c r="G27" i="1"/>
  <c r="K27" i="1" s="1"/>
  <c r="D16" i="14" s="1"/>
  <c r="G43" i="1"/>
  <c r="K43" i="1" s="1"/>
  <c r="D32" i="14" s="1"/>
  <c r="G52" i="1"/>
  <c r="K52" i="1" s="1"/>
  <c r="C41" i="14" s="1"/>
  <c r="B219" i="1"/>
  <c r="G54" i="1"/>
  <c r="K54" i="1" s="1"/>
  <c r="I43" i="14" s="1"/>
  <c r="B116" i="1"/>
  <c r="G61" i="1"/>
  <c r="K61" i="1" s="1"/>
  <c r="I50" i="14" s="1"/>
  <c r="B164" i="1"/>
  <c r="G55" i="1"/>
  <c r="K55" i="1" s="1"/>
  <c r="I44" i="14" s="1"/>
  <c r="G46" i="1"/>
  <c r="K46" i="1" s="1"/>
  <c r="C35" i="14" s="1"/>
  <c r="K154" i="1"/>
  <c r="G45" i="1"/>
  <c r="K45" i="1" s="1"/>
  <c r="C34" i="14" s="1"/>
  <c r="G31" i="1"/>
  <c r="K31" i="1" s="1"/>
  <c r="D20" i="14" s="1"/>
  <c r="G39" i="1"/>
  <c r="C94" i="1" s="1"/>
  <c r="B157" i="1"/>
  <c r="G48" i="1"/>
  <c r="K48" i="1" s="1"/>
  <c r="C37" i="14" s="1"/>
  <c r="B306" i="1"/>
  <c r="G33" i="1"/>
  <c r="K33" i="1" s="1"/>
  <c r="D22" i="14" s="1"/>
  <c r="K165" i="1"/>
  <c r="G56" i="1"/>
  <c r="K56" i="1" s="1"/>
  <c r="C45" i="14" s="1"/>
  <c r="L96" i="13"/>
  <c r="B88" i="1"/>
  <c r="B198" i="1"/>
  <c r="B140" i="1"/>
  <c r="K100" i="1"/>
  <c r="G167" i="13"/>
  <c r="E167" i="13" s="1"/>
  <c r="B142" i="1"/>
  <c r="K111" i="1"/>
  <c r="B154" i="1"/>
  <c r="K142" i="1"/>
  <c r="K140" i="1"/>
  <c r="B86" i="1"/>
  <c r="K88" i="1"/>
  <c r="B210" i="1"/>
  <c r="B196" i="1"/>
  <c r="N109" i="1"/>
  <c r="K86" i="1"/>
  <c r="B167" i="1"/>
  <c r="B156" i="1"/>
  <c r="K113" i="1"/>
  <c r="K102" i="1"/>
  <c r="B100" i="1"/>
  <c r="B101" i="1"/>
  <c r="K91" i="1"/>
  <c r="B111" i="1"/>
  <c r="B145" i="1"/>
  <c r="B91" i="1"/>
  <c r="K145" i="1"/>
  <c r="B103" i="1"/>
  <c r="K155" i="1"/>
  <c r="K103" i="1"/>
  <c r="K101" i="1"/>
  <c r="B155" i="1"/>
  <c r="L105" i="1"/>
  <c r="K157" i="1"/>
  <c r="M105" i="13"/>
  <c r="G177" i="13"/>
  <c r="B189" i="1"/>
  <c r="N105" i="1"/>
  <c r="Q100" i="1"/>
  <c r="N81" i="1"/>
  <c r="M103" i="13"/>
  <c r="K115" i="1"/>
  <c r="B163" i="1"/>
  <c r="L98" i="13"/>
  <c r="N106" i="1"/>
  <c r="F134" i="1"/>
  <c r="Q106" i="1"/>
  <c r="B225" i="1"/>
  <c r="B161" i="1"/>
  <c r="G182" i="13"/>
  <c r="O182" i="13" s="1"/>
  <c r="B115" i="1"/>
  <c r="N80" i="1"/>
  <c r="K169" i="1"/>
  <c r="C81" i="1"/>
  <c r="B71" i="14" s="1"/>
  <c r="L81" i="1"/>
  <c r="B126" i="14" s="1"/>
  <c r="B169" i="1"/>
  <c r="K107" i="1"/>
  <c r="G170" i="13"/>
  <c r="E170" i="13" s="1"/>
  <c r="K161" i="1"/>
  <c r="Q101" i="1"/>
  <c r="K84" i="1"/>
  <c r="B226" i="1"/>
  <c r="B139" i="1"/>
  <c r="B195" i="1"/>
  <c r="G164" i="13"/>
  <c r="E164" i="13" s="1"/>
  <c r="G168" i="13"/>
  <c r="E168" i="13" s="1"/>
  <c r="B98" i="1"/>
  <c r="B152" i="1"/>
  <c r="B208" i="1"/>
  <c r="C93" i="1"/>
  <c r="K98" i="1"/>
  <c r="N88" i="1"/>
  <c r="H162" i="1"/>
  <c r="P162" i="1" s="1"/>
  <c r="N108" i="1"/>
  <c r="B202" i="1"/>
  <c r="K138" i="1"/>
  <c r="L118" i="1"/>
  <c r="K151" i="1"/>
  <c r="K164" i="1"/>
  <c r="B151" i="1"/>
  <c r="K146" i="1"/>
  <c r="B84" i="1"/>
  <c r="K97" i="1"/>
  <c r="K207" i="1"/>
  <c r="B315" i="1"/>
  <c r="K144" i="1"/>
  <c r="B194" i="1"/>
  <c r="B207" i="1"/>
  <c r="B261" i="1"/>
  <c r="K90" i="1"/>
  <c r="B97" i="1"/>
  <c r="K211" i="1"/>
  <c r="K265" i="1"/>
  <c r="B265" i="1"/>
  <c r="B319" i="1"/>
  <c r="B302" i="1"/>
  <c r="K248" i="1"/>
  <c r="K194" i="1"/>
  <c r="B248" i="1"/>
  <c r="B136" i="1"/>
  <c r="K87" i="1"/>
  <c r="K264" i="1"/>
  <c r="B318" i="1"/>
  <c r="K210" i="1"/>
  <c r="B264" i="1"/>
  <c r="B333" i="1"/>
  <c r="K279" i="1"/>
  <c r="B279" i="1"/>
  <c r="K225" i="1"/>
  <c r="B90" i="1"/>
  <c r="B108" i="1"/>
  <c r="K162" i="1"/>
  <c r="K108" i="1"/>
  <c r="B218" i="1"/>
  <c r="B162" i="1"/>
  <c r="B144" i="1"/>
  <c r="C104" i="1"/>
  <c r="K136" i="1"/>
  <c r="B197" i="1"/>
  <c r="B146" i="1"/>
  <c r="K202" i="1"/>
  <c r="B256" i="1"/>
  <c r="K256" i="1"/>
  <c r="B310" i="1"/>
  <c r="K82" i="1"/>
  <c r="B85" i="1"/>
  <c r="B303" i="1"/>
  <c r="K249" i="1"/>
  <c r="B249" i="1"/>
  <c r="K195" i="1"/>
  <c r="B82" i="1"/>
  <c r="K110" i="1"/>
  <c r="K220" i="1"/>
  <c r="B274" i="1"/>
  <c r="K274" i="1"/>
  <c r="B328" i="1"/>
  <c r="B192" i="1"/>
  <c r="B220" i="1"/>
  <c r="B92" i="1"/>
  <c r="K163" i="1"/>
  <c r="B327" i="1"/>
  <c r="B273" i="1"/>
  <c r="K219" i="1"/>
  <c r="K273" i="1"/>
  <c r="K206" i="1"/>
  <c r="B260" i="1"/>
  <c r="K260" i="1"/>
  <c r="B314" i="1"/>
  <c r="B80" i="1"/>
  <c r="K190" i="1"/>
  <c r="K80" i="1"/>
  <c r="B190" i="1"/>
  <c r="K244" i="1"/>
  <c r="B298" i="1"/>
  <c r="K134" i="1"/>
  <c r="B244" i="1"/>
  <c r="K141" i="1"/>
  <c r="B272" i="1"/>
  <c r="K218" i="1"/>
  <c r="K272" i="1"/>
  <c r="B326" i="1"/>
  <c r="K226" i="1"/>
  <c r="K280" i="1"/>
  <c r="B334" i="1"/>
  <c r="B280" i="1"/>
  <c r="O193" i="13"/>
  <c r="M193" i="13" s="1"/>
  <c r="H155" i="1"/>
  <c r="H156" i="1"/>
  <c r="H142" i="1"/>
  <c r="H163" i="1"/>
  <c r="H135" i="1"/>
  <c r="S135" i="1" s="1"/>
  <c r="H159" i="1"/>
  <c r="H172" i="1"/>
  <c r="S172" i="1" s="1"/>
  <c r="H154" i="1"/>
  <c r="B206" i="1"/>
  <c r="B96" i="1"/>
  <c r="B141" i="1"/>
  <c r="B107" i="1"/>
  <c r="K85" i="1"/>
  <c r="K109" i="1"/>
  <c r="K116" i="1"/>
  <c r="B170" i="1"/>
  <c r="B150" i="1"/>
  <c r="B87" i="1"/>
  <c r="K139" i="1"/>
  <c r="B110" i="1"/>
  <c r="K96" i="1"/>
  <c r="K170" i="1"/>
  <c r="G155" i="13"/>
  <c r="E155" i="13" s="1"/>
  <c r="B109" i="1"/>
  <c r="B301" i="1"/>
  <c r="B247" i="1"/>
  <c r="K247" i="1"/>
  <c r="K193" i="1"/>
  <c r="K200" i="1"/>
  <c r="K254" i="1"/>
  <c r="B308" i="1"/>
  <c r="B254" i="1"/>
  <c r="B251" i="1"/>
  <c r="B305" i="1"/>
  <c r="K197" i="1"/>
  <c r="K251" i="1"/>
  <c r="B297" i="1"/>
  <c r="K189" i="1"/>
  <c r="K243" i="1"/>
  <c r="B243" i="1"/>
  <c r="K281" i="1"/>
  <c r="B281" i="1"/>
  <c r="B335" i="1"/>
  <c r="K227" i="1"/>
  <c r="B300" i="1"/>
  <c r="K246" i="1"/>
  <c r="B246" i="1"/>
  <c r="K192" i="1"/>
  <c r="B316" i="1"/>
  <c r="K208" i="1"/>
  <c r="B262" i="1"/>
  <c r="K262" i="1"/>
  <c r="B271" i="1"/>
  <c r="K271" i="1"/>
  <c r="B325" i="1"/>
  <c r="K217" i="1"/>
  <c r="D33" i="4"/>
  <c r="O33" i="4"/>
  <c r="O38" i="4" s="1"/>
  <c r="G185" i="13"/>
  <c r="E185" i="13" s="1"/>
  <c r="K83" i="13"/>
  <c r="L83" i="13" s="1"/>
  <c r="K62" i="1"/>
  <c r="I51" i="14" s="1"/>
  <c r="B227" i="1"/>
  <c r="B171" i="1"/>
  <c r="K117" i="1"/>
  <c r="B117" i="1"/>
  <c r="C118" i="1"/>
  <c r="B108" i="14" s="1"/>
  <c r="G175" i="13"/>
  <c r="E175" i="13" s="1"/>
  <c r="G181" i="13"/>
  <c r="E181" i="13" s="1"/>
  <c r="K171" i="1"/>
  <c r="B193" i="1"/>
  <c r="B83" i="1"/>
  <c r="B137" i="1"/>
  <c r="K83" i="1"/>
  <c r="F102" i="13"/>
  <c r="F117" i="13"/>
  <c r="M119" i="13"/>
  <c r="N421" i="13"/>
  <c r="F120" i="13"/>
  <c r="F84" i="13"/>
  <c r="E193" i="13"/>
  <c r="M101" i="13"/>
  <c r="G173" i="13"/>
  <c r="M88" i="13"/>
  <c r="G160" i="13"/>
  <c r="L88" i="13"/>
  <c r="M106" i="13"/>
  <c r="G178" i="13"/>
  <c r="M97" i="13"/>
  <c r="L97" i="13"/>
  <c r="M90" i="13"/>
  <c r="G162" i="13"/>
  <c r="P421" i="13"/>
  <c r="I421" i="13"/>
  <c r="Q82" i="1"/>
  <c r="N82" i="1"/>
  <c r="H136" i="1"/>
  <c r="I160" i="1"/>
  <c r="F160" i="1"/>
  <c r="P160" i="1"/>
  <c r="M107" i="13"/>
  <c r="L107" i="13"/>
  <c r="G179" i="13"/>
  <c r="F97" i="13"/>
  <c r="F118" i="13"/>
  <c r="N115" i="13"/>
  <c r="Q90" i="1"/>
  <c r="N90" i="1"/>
  <c r="H144" i="1"/>
  <c r="I168" i="1"/>
  <c r="F168" i="1"/>
  <c r="P168" i="1"/>
  <c r="N93" i="1"/>
  <c r="Q93" i="1"/>
  <c r="H147" i="1"/>
  <c r="N89" i="13"/>
  <c r="E169" i="13"/>
  <c r="C169" i="13"/>
  <c r="D169" i="13" s="1"/>
  <c r="O169" i="13"/>
  <c r="Q107" i="1"/>
  <c r="N107" i="1"/>
  <c r="H161" i="1"/>
  <c r="N121" i="13"/>
  <c r="M117" i="13"/>
  <c r="L117" i="13"/>
  <c r="G189" i="13"/>
  <c r="Q86" i="1"/>
  <c r="N86" i="1"/>
  <c r="H140" i="1"/>
  <c r="Q116" i="1"/>
  <c r="N116" i="1"/>
  <c r="H170" i="1"/>
  <c r="Q112" i="1"/>
  <c r="N112" i="1"/>
  <c r="H166" i="1"/>
  <c r="F108" i="13"/>
  <c r="E165" i="13"/>
  <c r="O165" i="13"/>
  <c r="C165" i="13"/>
  <c r="D165" i="13" s="1"/>
  <c r="M100" i="13"/>
  <c r="G172" i="13"/>
  <c r="L100" i="13"/>
  <c r="F104" i="13"/>
  <c r="F94" i="13"/>
  <c r="F193" i="13"/>
  <c r="D23" i="4"/>
  <c r="N87" i="1"/>
  <c r="Q87" i="1"/>
  <c r="H141" i="1"/>
  <c r="Q95" i="1"/>
  <c r="N95" i="1"/>
  <c r="H149" i="1"/>
  <c r="Q113" i="1"/>
  <c r="N113" i="1"/>
  <c r="H167" i="1"/>
  <c r="Q84" i="1"/>
  <c r="N84" i="1"/>
  <c r="H138" i="1"/>
  <c r="S138" i="1" s="1"/>
  <c r="N111" i="1"/>
  <c r="Q111" i="1"/>
  <c r="H165" i="1"/>
  <c r="C161" i="13"/>
  <c r="D161" i="13" s="1"/>
  <c r="Q110" i="1"/>
  <c r="N110" i="1"/>
  <c r="H164" i="1"/>
  <c r="F121" i="13"/>
  <c r="O421" i="13"/>
  <c r="L421" i="13"/>
  <c r="F96" i="13"/>
  <c r="E191" i="13"/>
  <c r="C191" i="13"/>
  <c r="D191" i="13" s="1"/>
  <c r="O191" i="13"/>
  <c r="Q94" i="1"/>
  <c r="N94" i="1"/>
  <c r="H148" i="1"/>
  <c r="S148" i="1" s="1"/>
  <c r="M116" i="13"/>
  <c r="G188" i="13"/>
  <c r="L116" i="13"/>
  <c r="Q421" i="13"/>
  <c r="M108" i="13"/>
  <c r="L108" i="13"/>
  <c r="G180" i="13"/>
  <c r="M99" i="13"/>
  <c r="L99" i="13"/>
  <c r="G171" i="13"/>
  <c r="M94" i="13"/>
  <c r="L94" i="13"/>
  <c r="G166" i="13"/>
  <c r="F114" i="13"/>
  <c r="L29" i="4"/>
  <c r="L22" i="4"/>
  <c r="E192" i="13"/>
  <c r="O192" i="13"/>
  <c r="C192" i="13"/>
  <c r="D192" i="13" s="1"/>
  <c r="Q89" i="1"/>
  <c r="N89" i="1"/>
  <c r="H143" i="1"/>
  <c r="S143" i="1" s="1"/>
  <c r="Q97" i="1"/>
  <c r="N97" i="1"/>
  <c r="H151" i="1"/>
  <c r="Q115" i="1"/>
  <c r="N115" i="1"/>
  <c r="H169" i="1"/>
  <c r="K421" i="13"/>
  <c r="N101" i="13"/>
  <c r="M85" i="13"/>
  <c r="G157" i="13"/>
  <c r="L85" i="13"/>
  <c r="C184" i="13"/>
  <c r="D184" i="13" s="1"/>
  <c r="O184" i="13"/>
  <c r="N103" i="1"/>
  <c r="Q103" i="1"/>
  <c r="H157" i="1"/>
  <c r="M102" i="13"/>
  <c r="L102" i="13"/>
  <c r="G174" i="13"/>
  <c r="M122" i="13"/>
  <c r="G194" i="13"/>
  <c r="L122" i="13"/>
  <c r="F115" i="13"/>
  <c r="Q96" i="1"/>
  <c r="N96" i="1"/>
  <c r="H150" i="1"/>
  <c r="R421" i="13"/>
  <c r="F99" i="13"/>
  <c r="F91" i="13"/>
  <c r="M114" i="13"/>
  <c r="G186" i="13"/>
  <c r="L114" i="13"/>
  <c r="M111" i="13"/>
  <c r="G183" i="13"/>
  <c r="L111" i="13"/>
  <c r="D19" i="4"/>
  <c r="E19" i="4" s="1"/>
  <c r="F19" i="4" s="1"/>
  <c r="G19" i="4" s="1"/>
  <c r="H19" i="4" s="1"/>
  <c r="I19" i="4" s="1"/>
  <c r="J19" i="4" s="1"/>
  <c r="K19" i="4" s="1"/>
  <c r="D17" i="4"/>
  <c r="D21" i="4"/>
  <c r="L34" i="4"/>
  <c r="D32" i="4"/>
  <c r="D18" i="4"/>
  <c r="L30" i="4"/>
  <c r="L20" i="4"/>
  <c r="E163" i="13"/>
  <c r="C163" i="13"/>
  <c r="D163" i="13" s="1"/>
  <c r="O163" i="13"/>
  <c r="M87" i="13"/>
  <c r="G159" i="13"/>
  <c r="L87" i="13"/>
  <c r="M86" i="13"/>
  <c r="L86" i="13"/>
  <c r="G158" i="13"/>
  <c r="Q91" i="1"/>
  <c r="N91" i="1"/>
  <c r="H145" i="1"/>
  <c r="N85" i="1"/>
  <c r="Q85" i="1"/>
  <c r="H139" i="1"/>
  <c r="Q104" i="1"/>
  <c r="N104" i="1"/>
  <c r="H158" i="1"/>
  <c r="N117" i="1"/>
  <c r="Q117" i="1"/>
  <c r="H171" i="1"/>
  <c r="M118" i="13"/>
  <c r="G190" i="13"/>
  <c r="L118" i="13"/>
  <c r="F106" i="13"/>
  <c r="F112" i="13"/>
  <c r="F107" i="13"/>
  <c r="M84" i="13"/>
  <c r="L84" i="13"/>
  <c r="G156" i="13"/>
  <c r="S421" i="13"/>
  <c r="N112" i="13"/>
  <c r="F92" i="13"/>
  <c r="F83" i="13"/>
  <c r="C123" i="13"/>
  <c r="N98" i="1"/>
  <c r="Q98" i="1"/>
  <c r="H152" i="1"/>
  <c r="F93" i="13"/>
  <c r="F100" i="13"/>
  <c r="I137" i="1"/>
  <c r="F137" i="1"/>
  <c r="P137" i="1"/>
  <c r="M104" i="13"/>
  <c r="L104" i="13"/>
  <c r="G176" i="13"/>
  <c r="Q79" i="1"/>
  <c r="N79" i="1"/>
  <c r="Q92" i="1"/>
  <c r="N92" i="1"/>
  <c r="H146" i="1"/>
  <c r="F111" i="13"/>
  <c r="Q99" i="1"/>
  <c r="N99" i="1"/>
  <c r="H153" i="1"/>
  <c r="E25" i="4"/>
  <c r="L28" i="4"/>
  <c r="D31" i="4"/>
  <c r="D27" i="4"/>
  <c r="E27" i="4" s="1"/>
  <c r="F27" i="4" s="1"/>
  <c r="G27" i="4" s="1"/>
  <c r="H27" i="4" s="1"/>
  <c r="I27" i="4" s="1"/>
  <c r="J27" i="4" s="1"/>
  <c r="K27" i="4" s="1"/>
  <c r="F87" i="13"/>
  <c r="F86" i="13"/>
  <c r="E182" i="13" l="1"/>
  <c r="C114" i="1"/>
  <c r="E114" i="1" s="1"/>
  <c r="L104" i="14" s="1"/>
  <c r="C170" i="13"/>
  <c r="E105" i="1"/>
  <c r="L95" i="14" s="1"/>
  <c r="M95" i="14" s="1"/>
  <c r="C182" i="13"/>
  <c r="D182" i="13" s="1"/>
  <c r="K193" i="13"/>
  <c r="L193" i="13" s="1"/>
  <c r="C106" i="1"/>
  <c r="E106" i="1" s="1"/>
  <c r="L96" i="14" s="1"/>
  <c r="L106" i="1"/>
  <c r="M106" i="1" s="1"/>
  <c r="L151" i="14" s="1"/>
  <c r="E187" i="13"/>
  <c r="L88" i="1"/>
  <c r="M88" i="1" s="1"/>
  <c r="L133" i="14" s="1"/>
  <c r="C95" i="1"/>
  <c r="D85" i="14" s="1"/>
  <c r="C14" i="14"/>
  <c r="E14" i="14"/>
  <c r="E53" i="14" s="1"/>
  <c r="O187" i="13"/>
  <c r="M187" i="13" s="1"/>
  <c r="F187" i="13"/>
  <c r="M40" i="1"/>
  <c r="L29" i="14" s="1"/>
  <c r="M29" i="14" s="1"/>
  <c r="E161" i="13"/>
  <c r="M51" i="1"/>
  <c r="L40" i="14" s="1"/>
  <c r="M40" i="14" s="1"/>
  <c r="L101" i="1"/>
  <c r="M101" i="1" s="1"/>
  <c r="L146" i="14" s="1"/>
  <c r="L114" i="1"/>
  <c r="M114" i="1" s="1"/>
  <c r="L159" i="14" s="1"/>
  <c r="M59" i="1"/>
  <c r="L48" i="14" s="1"/>
  <c r="M48" i="14" s="1"/>
  <c r="C86" i="1"/>
  <c r="E86" i="1" s="1"/>
  <c r="L76" i="14" s="1"/>
  <c r="C91" i="1"/>
  <c r="G81" i="14" s="1"/>
  <c r="G109" i="14" s="1"/>
  <c r="C99" i="1"/>
  <c r="D53" i="14"/>
  <c r="M44" i="1"/>
  <c r="L33" i="14" s="1"/>
  <c r="M33" i="14" s="1"/>
  <c r="O185" i="13"/>
  <c r="G257" i="13" s="1"/>
  <c r="E104" i="1"/>
  <c r="L94" i="14" s="1"/>
  <c r="C94" i="14"/>
  <c r="C104" i="14"/>
  <c r="M81" i="1"/>
  <c r="L126" i="14" s="1"/>
  <c r="D126" i="14"/>
  <c r="C151" i="14"/>
  <c r="M105" i="1"/>
  <c r="L150" i="14" s="1"/>
  <c r="C150" i="14"/>
  <c r="I53" i="14"/>
  <c r="D133" i="14"/>
  <c r="C96" i="14"/>
  <c r="M118" i="1"/>
  <c r="L163" i="14" s="1"/>
  <c r="B163" i="14"/>
  <c r="E93" i="1"/>
  <c r="L83" i="14" s="1"/>
  <c r="D83" i="14"/>
  <c r="C146" i="14"/>
  <c r="E81" i="1"/>
  <c r="G81" i="1" s="1"/>
  <c r="D71" i="14"/>
  <c r="E94" i="1"/>
  <c r="L84" i="14" s="1"/>
  <c r="B84" i="14"/>
  <c r="E113" i="1"/>
  <c r="L103" i="14" s="1"/>
  <c r="C103" i="14"/>
  <c r="L15" i="14"/>
  <c r="M15" i="14" s="1"/>
  <c r="N63" i="1"/>
  <c r="M62" i="1"/>
  <c r="L51" i="14" s="1"/>
  <c r="M51" i="14" s="1"/>
  <c r="M61" i="1"/>
  <c r="L50" i="14" s="1"/>
  <c r="M50" i="14" s="1"/>
  <c r="M60" i="1"/>
  <c r="L49" i="14" s="1"/>
  <c r="M49" i="14" s="1"/>
  <c r="M57" i="1"/>
  <c r="L46" i="14" s="1"/>
  <c r="M46" i="14" s="1"/>
  <c r="M56" i="1"/>
  <c r="L45" i="14" s="1"/>
  <c r="M45" i="14" s="1"/>
  <c r="M55" i="1"/>
  <c r="L44" i="14" s="1"/>
  <c r="M44" i="14" s="1"/>
  <c r="M54" i="1"/>
  <c r="L43" i="14" s="1"/>
  <c r="M43" i="14" s="1"/>
  <c r="M53" i="1"/>
  <c r="M52" i="1"/>
  <c r="L41" i="14" s="1"/>
  <c r="M41" i="14" s="1"/>
  <c r="N50" i="1"/>
  <c r="N49" i="1"/>
  <c r="M48" i="1"/>
  <c r="L37" i="14" s="1"/>
  <c r="M37" i="14" s="1"/>
  <c r="M47" i="1"/>
  <c r="L36" i="14" s="1"/>
  <c r="M36" i="14" s="1"/>
  <c r="M46" i="1"/>
  <c r="L35" i="14" s="1"/>
  <c r="M35" i="14" s="1"/>
  <c r="M45" i="1"/>
  <c r="L34" i="14" s="1"/>
  <c r="M34" i="14" s="1"/>
  <c r="M43" i="1"/>
  <c r="L32" i="14" s="1"/>
  <c r="M32" i="14" s="1"/>
  <c r="M42" i="1"/>
  <c r="L31" i="14" s="1"/>
  <c r="M31" i="14" s="1"/>
  <c r="M41" i="1"/>
  <c r="L30" i="14" s="1"/>
  <c r="M30" i="14" s="1"/>
  <c r="N38" i="1"/>
  <c r="M37" i="1"/>
  <c r="L26" i="14" s="1"/>
  <c r="M26" i="14" s="1"/>
  <c r="M36" i="1"/>
  <c r="M35" i="1"/>
  <c r="L24" i="14" s="1"/>
  <c r="M24" i="14" s="1"/>
  <c r="M34" i="1"/>
  <c r="L23" i="14" s="1"/>
  <c r="M23" i="14" s="1"/>
  <c r="M33" i="1"/>
  <c r="L22" i="14" s="1"/>
  <c r="M22" i="14" s="1"/>
  <c r="M32" i="1"/>
  <c r="L21" i="14" s="1"/>
  <c r="M21" i="14" s="1"/>
  <c r="M31" i="1"/>
  <c r="L20" i="14" s="1"/>
  <c r="M20" i="14" s="1"/>
  <c r="M30" i="1"/>
  <c r="L19" i="14" s="1"/>
  <c r="M19" i="14" s="1"/>
  <c r="M29" i="1"/>
  <c r="L18" i="14" s="1"/>
  <c r="M18" i="14" s="1"/>
  <c r="M28" i="1"/>
  <c r="L17" i="14" s="1"/>
  <c r="M17" i="14" s="1"/>
  <c r="M27" i="1"/>
  <c r="L16" i="14" s="1"/>
  <c r="M16" i="14" s="1"/>
  <c r="N26" i="1"/>
  <c r="C107" i="1"/>
  <c r="C102" i="1"/>
  <c r="L102" i="1"/>
  <c r="C101" i="1"/>
  <c r="C98" i="1"/>
  <c r="C88" i="1"/>
  <c r="D78" i="14" s="1"/>
  <c r="C87" i="1"/>
  <c r="C85" i="1"/>
  <c r="G265" i="13"/>
  <c r="E265" i="13" s="1"/>
  <c r="C112" i="1"/>
  <c r="C89" i="1"/>
  <c r="C82" i="1"/>
  <c r="N120" i="13"/>
  <c r="N98" i="13"/>
  <c r="K39" i="1"/>
  <c r="B28" i="14" s="1"/>
  <c r="K58" i="1"/>
  <c r="C47" i="14" s="1"/>
  <c r="N96" i="13"/>
  <c r="F162" i="1"/>
  <c r="L92" i="13"/>
  <c r="N92" i="13" s="1"/>
  <c r="L95" i="13"/>
  <c r="N95" i="13" s="1"/>
  <c r="L113" i="13"/>
  <c r="N113" i="13" s="1"/>
  <c r="L90" i="13"/>
  <c r="N90" i="13" s="1"/>
  <c r="L106" i="13"/>
  <c r="N106" i="13" s="1"/>
  <c r="L119" i="13"/>
  <c r="N119" i="13" s="1"/>
  <c r="L109" i="13"/>
  <c r="N109" i="13" s="1"/>
  <c r="L110" i="13"/>
  <c r="N110" i="13" s="1"/>
  <c r="C185" i="13"/>
  <c r="D185" i="13" s="1"/>
  <c r="C168" i="13"/>
  <c r="D168" i="13" s="1"/>
  <c r="O167" i="13"/>
  <c r="M167" i="13" s="1"/>
  <c r="C167" i="13"/>
  <c r="D167" i="13" s="1"/>
  <c r="C84" i="1"/>
  <c r="B74" i="14" s="1"/>
  <c r="C111" i="1"/>
  <c r="C101" i="14" s="1"/>
  <c r="C103" i="1"/>
  <c r="C90" i="1"/>
  <c r="O168" i="13"/>
  <c r="M168" i="13" s="1"/>
  <c r="E177" i="13"/>
  <c r="O177" i="13"/>
  <c r="G249" i="13" s="1"/>
  <c r="E249" i="13" s="1"/>
  <c r="C177" i="13"/>
  <c r="D177" i="13" s="1"/>
  <c r="I162" i="1"/>
  <c r="C162" i="1" s="1"/>
  <c r="O155" i="13"/>
  <c r="G227" i="13" s="1"/>
  <c r="E227" i="13" s="1"/>
  <c r="O164" i="13"/>
  <c r="K164" i="13" s="1"/>
  <c r="L164" i="13" s="1"/>
  <c r="C164" i="13"/>
  <c r="D164" i="13" s="1"/>
  <c r="C175" i="13"/>
  <c r="D175" i="13" s="1"/>
  <c r="I134" i="1"/>
  <c r="C134" i="1" s="1"/>
  <c r="B14" i="14"/>
  <c r="M25" i="1"/>
  <c r="O181" i="13"/>
  <c r="M181" i="13" s="1"/>
  <c r="C181" i="13"/>
  <c r="D181" i="13" s="1"/>
  <c r="O170" i="13"/>
  <c r="K170" i="13" s="1"/>
  <c r="L170" i="13" s="1"/>
  <c r="C155" i="13"/>
  <c r="D155" i="13" s="1"/>
  <c r="C80" i="1"/>
  <c r="L80" i="1"/>
  <c r="E125" i="14" s="1"/>
  <c r="E164" i="14" s="1"/>
  <c r="C97" i="1"/>
  <c r="D87" i="14" s="1"/>
  <c r="C110" i="1"/>
  <c r="C115" i="1"/>
  <c r="C105" i="14" s="1"/>
  <c r="C92" i="1"/>
  <c r="C108" i="1"/>
  <c r="L100" i="1"/>
  <c r="C100" i="1"/>
  <c r="C96" i="1"/>
  <c r="L108" i="1"/>
  <c r="I153" i="14" s="1"/>
  <c r="L109" i="1"/>
  <c r="C109" i="1"/>
  <c r="P155" i="1"/>
  <c r="I155" i="1"/>
  <c r="F155" i="1"/>
  <c r="I163" i="1"/>
  <c r="F163" i="1"/>
  <c r="P163" i="1"/>
  <c r="I172" i="1"/>
  <c r="F172" i="1"/>
  <c r="P172" i="1"/>
  <c r="T172" i="1" s="1"/>
  <c r="F142" i="1"/>
  <c r="I142" i="1"/>
  <c r="P142" i="1"/>
  <c r="F159" i="1"/>
  <c r="I159" i="1"/>
  <c r="P159" i="1"/>
  <c r="P154" i="1"/>
  <c r="I154" i="1"/>
  <c r="F154" i="1"/>
  <c r="F156" i="1"/>
  <c r="P156" i="1"/>
  <c r="I156" i="1"/>
  <c r="E118" i="1"/>
  <c r="G118" i="1" s="1"/>
  <c r="I135" i="1"/>
  <c r="F135" i="1"/>
  <c r="P135" i="1"/>
  <c r="T135" i="1" s="1"/>
  <c r="K187" i="13"/>
  <c r="L187" i="13" s="1"/>
  <c r="C116" i="1"/>
  <c r="I106" i="14" s="1"/>
  <c r="C117" i="1"/>
  <c r="I107" i="14" s="1"/>
  <c r="E31" i="4"/>
  <c r="P31" i="4"/>
  <c r="E18" i="4"/>
  <c r="P18" i="4"/>
  <c r="E32" i="4"/>
  <c r="P32" i="4"/>
  <c r="E21" i="4"/>
  <c r="P21" i="4"/>
  <c r="E23" i="4"/>
  <c r="P23" i="4"/>
  <c r="E33" i="4"/>
  <c r="P33" i="4"/>
  <c r="C83" i="1"/>
  <c r="N83" i="13"/>
  <c r="O175" i="13"/>
  <c r="G247" i="13" s="1"/>
  <c r="L83" i="1"/>
  <c r="E162" i="13"/>
  <c r="O162" i="13"/>
  <c r="G234" i="13" s="1"/>
  <c r="C162" i="13"/>
  <c r="D162" i="13" s="1"/>
  <c r="E173" i="13"/>
  <c r="O173" i="13"/>
  <c r="G245" i="13" s="1"/>
  <c r="E245" i="13" s="1"/>
  <c r="C173" i="13"/>
  <c r="D173" i="13" s="1"/>
  <c r="L27" i="4"/>
  <c r="N97" i="13"/>
  <c r="N88" i="13"/>
  <c r="E178" i="13"/>
  <c r="C178" i="13"/>
  <c r="D178" i="13" s="1"/>
  <c r="O178" i="13"/>
  <c r="G250" i="13" s="1"/>
  <c r="E250" i="13" s="1"/>
  <c r="C160" i="13"/>
  <c r="D160" i="13" s="1"/>
  <c r="O160" i="13"/>
  <c r="G232" i="13" s="1"/>
  <c r="E232" i="13" s="1"/>
  <c r="E160" i="13"/>
  <c r="N193" i="13"/>
  <c r="I133" i="1"/>
  <c r="F133" i="1"/>
  <c r="Q137" i="1"/>
  <c r="N137" i="1"/>
  <c r="H193" i="1"/>
  <c r="L98" i="1"/>
  <c r="I158" i="1"/>
  <c r="F158" i="1"/>
  <c r="P158" i="1"/>
  <c r="N111" i="13"/>
  <c r="N102" i="13"/>
  <c r="L115" i="1"/>
  <c r="N94" i="13"/>
  <c r="F191" i="13"/>
  <c r="L116" i="1"/>
  <c r="M169" i="13"/>
  <c r="K169" i="13"/>
  <c r="L169" i="13" s="1"/>
  <c r="G241" i="13"/>
  <c r="L93" i="1"/>
  <c r="Q160" i="1"/>
  <c r="N160" i="1"/>
  <c r="H216" i="1"/>
  <c r="E190" i="13"/>
  <c r="C190" i="13"/>
  <c r="D190" i="13" s="1"/>
  <c r="O190" i="13"/>
  <c r="Q134" i="1"/>
  <c r="N134" i="1"/>
  <c r="H190" i="1"/>
  <c r="S190" i="1" s="1"/>
  <c r="I145" i="1"/>
  <c r="F145" i="1"/>
  <c r="P145" i="1"/>
  <c r="M182" i="13"/>
  <c r="G254" i="13"/>
  <c r="K182" i="13"/>
  <c r="L182" i="13" s="1"/>
  <c r="E183" i="13"/>
  <c r="C183" i="13"/>
  <c r="D183" i="13" s="1"/>
  <c r="O183" i="13"/>
  <c r="F150" i="1"/>
  <c r="I150" i="1"/>
  <c r="P150" i="1"/>
  <c r="L113" i="1"/>
  <c r="E189" i="13"/>
  <c r="C189" i="13"/>
  <c r="D189" i="13" s="1"/>
  <c r="O189" i="13"/>
  <c r="F169" i="13"/>
  <c r="C168" i="1"/>
  <c r="E179" i="13"/>
  <c r="O179" i="13"/>
  <c r="C179" i="13"/>
  <c r="D179" i="13" s="1"/>
  <c r="I153" i="1"/>
  <c r="F153" i="1"/>
  <c r="P153" i="1"/>
  <c r="N104" i="13"/>
  <c r="D123" i="13"/>
  <c r="E158" i="13"/>
  <c r="O158" i="13"/>
  <c r="C158" i="13"/>
  <c r="D158" i="13" s="1"/>
  <c r="M163" i="13"/>
  <c r="G235" i="13"/>
  <c r="K163" i="13"/>
  <c r="L163" i="13" s="1"/>
  <c r="N114" i="13"/>
  <c r="E194" i="13"/>
  <c r="O194" i="13"/>
  <c r="C194" i="13"/>
  <c r="D194" i="13" s="1"/>
  <c r="I157" i="1"/>
  <c r="F157" i="1"/>
  <c r="P157" i="1"/>
  <c r="M184" i="13"/>
  <c r="K184" i="13"/>
  <c r="L184" i="13" s="1"/>
  <c r="G256" i="13"/>
  <c r="L97" i="1"/>
  <c r="L89" i="1"/>
  <c r="F192" i="13"/>
  <c r="E171" i="13"/>
  <c r="C171" i="13"/>
  <c r="D171" i="13" s="1"/>
  <c r="O171" i="13"/>
  <c r="N108" i="13"/>
  <c r="E188" i="13"/>
  <c r="O188" i="13"/>
  <c r="C188" i="13"/>
  <c r="D188" i="13" s="1"/>
  <c r="F164" i="1"/>
  <c r="I164" i="1"/>
  <c r="P164" i="1"/>
  <c r="F161" i="13"/>
  <c r="I165" i="1"/>
  <c r="F165" i="1"/>
  <c r="P165" i="1"/>
  <c r="I138" i="1"/>
  <c r="F138" i="1"/>
  <c r="P138" i="1"/>
  <c r="T138" i="1" s="1"/>
  <c r="F167" i="1"/>
  <c r="I167" i="1"/>
  <c r="P167" i="1"/>
  <c r="I149" i="1"/>
  <c r="F149" i="1"/>
  <c r="P149" i="1"/>
  <c r="I141" i="1"/>
  <c r="F141" i="1"/>
  <c r="P141" i="1"/>
  <c r="L19" i="4"/>
  <c r="N100" i="13"/>
  <c r="M165" i="13"/>
  <c r="G237" i="13"/>
  <c r="K165" i="13"/>
  <c r="L165" i="13" s="1"/>
  <c r="L112" i="1"/>
  <c r="N117" i="13"/>
  <c r="L107" i="1"/>
  <c r="Q168" i="1"/>
  <c r="N168" i="1"/>
  <c r="H224" i="1"/>
  <c r="N107" i="13"/>
  <c r="C160" i="1"/>
  <c r="L82" i="1"/>
  <c r="F146" i="1"/>
  <c r="I146" i="1"/>
  <c r="P146" i="1"/>
  <c r="E156" i="13"/>
  <c r="O156" i="13"/>
  <c r="C156" i="13"/>
  <c r="D156" i="13" s="1"/>
  <c r="N118" i="13"/>
  <c r="I171" i="1"/>
  <c r="F171" i="1"/>
  <c r="P171" i="1"/>
  <c r="F139" i="1"/>
  <c r="I139" i="1"/>
  <c r="P139" i="1"/>
  <c r="E159" i="13"/>
  <c r="C159" i="13"/>
  <c r="D159" i="13" s="1"/>
  <c r="O159" i="13"/>
  <c r="L96" i="1"/>
  <c r="L103" i="1"/>
  <c r="N85" i="13"/>
  <c r="L110" i="1"/>
  <c r="I161" i="1"/>
  <c r="F161" i="1"/>
  <c r="P161" i="1"/>
  <c r="I136" i="1"/>
  <c r="F136" i="1"/>
  <c r="P136" i="1"/>
  <c r="F25" i="4"/>
  <c r="L99" i="1"/>
  <c r="E176" i="13"/>
  <c r="O176" i="13"/>
  <c r="C176" i="13"/>
  <c r="D176" i="13" s="1"/>
  <c r="N84" i="13"/>
  <c r="K123" i="13"/>
  <c r="L117" i="1"/>
  <c r="L85" i="1"/>
  <c r="K185" i="13"/>
  <c r="L185" i="13" s="1"/>
  <c r="N122" i="13"/>
  <c r="E157" i="13"/>
  <c r="C157" i="13"/>
  <c r="D157" i="13" s="1"/>
  <c r="O157" i="13"/>
  <c r="I169" i="1"/>
  <c r="F169" i="1"/>
  <c r="P169" i="1"/>
  <c r="E180" i="13"/>
  <c r="C180" i="13"/>
  <c r="D180" i="13" s="1"/>
  <c r="O180" i="13"/>
  <c r="N116" i="13"/>
  <c r="L94" i="1"/>
  <c r="L84" i="1"/>
  <c r="L95" i="1"/>
  <c r="F165" i="13"/>
  <c r="I170" i="1"/>
  <c r="F170" i="1"/>
  <c r="P170" i="1"/>
  <c r="I140" i="1"/>
  <c r="F140" i="1"/>
  <c r="P140" i="1"/>
  <c r="L90" i="1"/>
  <c r="C265" i="13"/>
  <c r="D265" i="13" s="1"/>
  <c r="O265" i="13"/>
  <c r="L92" i="1"/>
  <c r="C137" i="1"/>
  <c r="F152" i="1"/>
  <c r="I152" i="1"/>
  <c r="P152" i="1"/>
  <c r="L104" i="1"/>
  <c r="L91" i="1"/>
  <c r="N86" i="13"/>
  <c r="N87" i="13"/>
  <c r="F163" i="13"/>
  <c r="E17" i="4"/>
  <c r="E186" i="13"/>
  <c r="C186" i="13"/>
  <c r="D186" i="13" s="1"/>
  <c r="O186" i="13"/>
  <c r="E174" i="13"/>
  <c r="O174" i="13"/>
  <c r="C174" i="13"/>
  <c r="D174" i="13" s="1"/>
  <c r="F184" i="13"/>
  <c r="F151" i="1"/>
  <c r="I151" i="1"/>
  <c r="P151" i="1"/>
  <c r="F143" i="1"/>
  <c r="I143" i="1"/>
  <c r="P143" i="1"/>
  <c r="T143" i="1" s="1"/>
  <c r="K181" i="13"/>
  <c r="L181" i="13" s="1"/>
  <c r="M192" i="13"/>
  <c r="G264" i="13"/>
  <c r="K192" i="13"/>
  <c r="L192" i="13" s="1"/>
  <c r="E166" i="13"/>
  <c r="C166" i="13"/>
  <c r="D166" i="13" s="1"/>
  <c r="O166" i="13"/>
  <c r="N99" i="13"/>
  <c r="F148" i="1"/>
  <c r="I148" i="1"/>
  <c r="P148" i="1"/>
  <c r="T148" i="1" s="1"/>
  <c r="M191" i="13"/>
  <c r="G263" i="13"/>
  <c r="K191" i="13"/>
  <c r="L191" i="13" s="1"/>
  <c r="M161" i="13"/>
  <c r="G233" i="13"/>
  <c r="K161" i="13"/>
  <c r="L161" i="13" s="1"/>
  <c r="L111" i="1"/>
  <c r="L87" i="1"/>
  <c r="E172" i="13"/>
  <c r="O172" i="13"/>
  <c r="C172" i="13"/>
  <c r="D172" i="13" s="1"/>
  <c r="I166" i="1"/>
  <c r="F166" i="1"/>
  <c r="P166" i="1"/>
  <c r="Q162" i="1"/>
  <c r="N162" i="1"/>
  <c r="H218" i="1"/>
  <c r="L86" i="1"/>
  <c r="I147" i="1"/>
  <c r="F147" i="1"/>
  <c r="P147" i="1"/>
  <c r="F144" i="1"/>
  <c r="I144" i="1"/>
  <c r="P144" i="1"/>
  <c r="D170" i="13" l="1"/>
  <c r="F170" i="13" s="1"/>
  <c r="G105" i="1"/>
  <c r="F182" i="13"/>
  <c r="K168" i="13"/>
  <c r="L168" i="13" s="1"/>
  <c r="O245" i="13"/>
  <c r="C249" i="13"/>
  <c r="D249" i="13" s="1"/>
  <c r="O249" i="13"/>
  <c r="M185" i="13"/>
  <c r="G259" i="13"/>
  <c r="O259" i="13" s="1"/>
  <c r="M259" i="13" s="1"/>
  <c r="O227" i="13"/>
  <c r="G299" i="13" s="1"/>
  <c r="C227" i="13"/>
  <c r="G93" i="1"/>
  <c r="N59" i="1"/>
  <c r="E95" i="1"/>
  <c r="L85" i="14" s="1"/>
  <c r="M85" i="14" s="1"/>
  <c r="N40" i="1"/>
  <c r="B70" i="14"/>
  <c r="E70" i="14"/>
  <c r="E109" i="14" s="1"/>
  <c r="C180" i="14"/>
  <c r="E180" i="14"/>
  <c r="E219" i="14" s="1"/>
  <c r="E55" i="14"/>
  <c r="E56" i="14" s="1"/>
  <c r="E91" i="1"/>
  <c r="G111" i="14" s="1"/>
  <c r="G112" i="14" s="1"/>
  <c r="E88" i="1"/>
  <c r="L78" i="14" s="1"/>
  <c r="M78" i="14" s="1"/>
  <c r="O105" i="1"/>
  <c r="N51" i="1"/>
  <c r="C159" i="14"/>
  <c r="M159" i="14" s="1"/>
  <c r="D76" i="14"/>
  <c r="M76" i="14" s="1"/>
  <c r="O81" i="1"/>
  <c r="G104" i="1"/>
  <c r="G114" i="1"/>
  <c r="O106" i="1"/>
  <c r="N44" i="1"/>
  <c r="M146" i="14"/>
  <c r="M103" i="14"/>
  <c r="M84" i="14"/>
  <c r="F167" i="13"/>
  <c r="G113" i="1"/>
  <c r="O88" i="1"/>
  <c r="M83" i="14"/>
  <c r="M163" i="14"/>
  <c r="M96" i="14"/>
  <c r="M133" i="14"/>
  <c r="N30" i="1"/>
  <c r="L71" i="14"/>
  <c r="M71" i="14" s="1"/>
  <c r="E99" i="1"/>
  <c r="C89" i="14"/>
  <c r="M86" i="1"/>
  <c r="L131" i="14" s="1"/>
  <c r="D131" i="14"/>
  <c r="M87" i="1"/>
  <c r="L132" i="14" s="1"/>
  <c r="C132" i="14"/>
  <c r="M104" i="1"/>
  <c r="L149" i="14" s="1"/>
  <c r="C149" i="14"/>
  <c r="E137" i="1"/>
  <c r="L183" i="14" s="1"/>
  <c r="C183" i="14"/>
  <c r="M92" i="1"/>
  <c r="L137" i="14" s="1"/>
  <c r="D137" i="14"/>
  <c r="M90" i="1"/>
  <c r="L135" i="14" s="1"/>
  <c r="D135" i="14"/>
  <c r="M95" i="1"/>
  <c r="L140" i="14" s="1"/>
  <c r="D140" i="14"/>
  <c r="M94" i="1"/>
  <c r="L139" i="14" s="1"/>
  <c r="B139" i="14"/>
  <c r="M117" i="1"/>
  <c r="L162" i="14" s="1"/>
  <c r="I162" i="14"/>
  <c r="M99" i="1"/>
  <c r="L144" i="14" s="1"/>
  <c r="C144" i="14"/>
  <c r="M110" i="1"/>
  <c r="L155" i="14" s="1"/>
  <c r="I155" i="14"/>
  <c r="M103" i="1"/>
  <c r="L148" i="14" s="1"/>
  <c r="C148" i="14"/>
  <c r="M82" i="1"/>
  <c r="L127" i="14" s="1"/>
  <c r="D127" i="14"/>
  <c r="M107" i="1"/>
  <c r="L152" i="14" s="1"/>
  <c r="C152" i="14"/>
  <c r="M112" i="1"/>
  <c r="L157" i="14" s="1"/>
  <c r="C157" i="14"/>
  <c r="M89" i="1"/>
  <c r="L134" i="14" s="1"/>
  <c r="B134" i="14"/>
  <c r="M113" i="1"/>
  <c r="L158" i="14" s="1"/>
  <c r="C158" i="14"/>
  <c r="M115" i="1"/>
  <c r="L160" i="14" s="1"/>
  <c r="C160" i="14"/>
  <c r="E83" i="1"/>
  <c r="C73" i="14"/>
  <c r="M109" i="1"/>
  <c r="L154" i="14" s="1"/>
  <c r="I154" i="14"/>
  <c r="E100" i="1"/>
  <c r="L90" i="14" s="1"/>
  <c r="C90" i="14"/>
  <c r="E108" i="1"/>
  <c r="L98" i="14" s="1"/>
  <c r="I98" i="14"/>
  <c r="E162" i="1"/>
  <c r="L208" i="14" s="1"/>
  <c r="I208" i="14"/>
  <c r="E103" i="1"/>
  <c r="L93" i="14" s="1"/>
  <c r="C93" i="14"/>
  <c r="E82" i="1"/>
  <c r="L72" i="14" s="1"/>
  <c r="D72" i="14"/>
  <c r="E112" i="1"/>
  <c r="L102" i="14" s="1"/>
  <c r="C102" i="14"/>
  <c r="E85" i="1"/>
  <c r="L75" i="14" s="1"/>
  <c r="C75" i="14"/>
  <c r="E101" i="1"/>
  <c r="L91" i="14" s="1"/>
  <c r="C91" i="14"/>
  <c r="E102" i="1"/>
  <c r="L92" i="14" s="1"/>
  <c r="C92" i="14"/>
  <c r="M111" i="1"/>
  <c r="L156" i="14" s="1"/>
  <c r="C156" i="14"/>
  <c r="O118" i="1"/>
  <c r="G253" i="13"/>
  <c r="E253" i="13" s="1"/>
  <c r="M91" i="1"/>
  <c r="G166" i="14" s="1"/>
  <c r="G136" i="14"/>
  <c r="G164" i="14" s="1"/>
  <c r="M84" i="1"/>
  <c r="L129" i="14" s="1"/>
  <c r="B129" i="14"/>
  <c r="M85" i="1"/>
  <c r="L130" i="14" s="1"/>
  <c r="C130" i="14"/>
  <c r="M96" i="1"/>
  <c r="L141" i="14" s="1"/>
  <c r="D141" i="14"/>
  <c r="E160" i="1"/>
  <c r="L206" i="14" s="1"/>
  <c r="C206" i="14"/>
  <c r="G106" i="1"/>
  <c r="O101" i="1"/>
  <c r="M97" i="1"/>
  <c r="L142" i="14" s="1"/>
  <c r="D142" i="14"/>
  <c r="E168" i="1"/>
  <c r="L214" i="14" s="1"/>
  <c r="C214" i="14"/>
  <c r="M93" i="1"/>
  <c r="L138" i="14" s="1"/>
  <c r="D138" i="14"/>
  <c r="M116" i="1"/>
  <c r="L161" i="14" s="1"/>
  <c r="I161" i="14"/>
  <c r="M98" i="1"/>
  <c r="L143" i="14" s="1"/>
  <c r="D143" i="14"/>
  <c r="M83" i="1"/>
  <c r="L128" i="14" s="1"/>
  <c r="C128" i="14"/>
  <c r="E109" i="1"/>
  <c r="L99" i="14" s="1"/>
  <c r="I99" i="14"/>
  <c r="O114" i="1"/>
  <c r="E96" i="1"/>
  <c r="G96" i="1" s="1"/>
  <c r="D86" i="14"/>
  <c r="M100" i="1"/>
  <c r="L145" i="14" s="1"/>
  <c r="C145" i="14"/>
  <c r="E92" i="1"/>
  <c r="L82" i="14" s="1"/>
  <c r="D82" i="14"/>
  <c r="G94" i="1"/>
  <c r="E110" i="1"/>
  <c r="L100" i="14" s="1"/>
  <c r="I100" i="14"/>
  <c r="G86" i="1"/>
  <c r="E90" i="1"/>
  <c r="L80" i="14" s="1"/>
  <c r="D80" i="14"/>
  <c r="E89" i="1"/>
  <c r="L79" i="14" s="1"/>
  <c r="B79" i="14"/>
  <c r="E87" i="1"/>
  <c r="L77" i="14" s="1"/>
  <c r="C77" i="14"/>
  <c r="E98" i="1"/>
  <c r="L88" i="14" s="1"/>
  <c r="D88" i="14"/>
  <c r="M102" i="1"/>
  <c r="L147" i="14" s="1"/>
  <c r="C147" i="14"/>
  <c r="E107" i="1"/>
  <c r="G107" i="1" s="1"/>
  <c r="C97" i="14"/>
  <c r="N28" i="1"/>
  <c r="M126" i="14"/>
  <c r="M150" i="14"/>
  <c r="M151" i="14"/>
  <c r="M104" i="14"/>
  <c r="M94" i="14"/>
  <c r="N57" i="1"/>
  <c r="L42" i="14"/>
  <c r="M42" i="14" s="1"/>
  <c r="N52" i="1"/>
  <c r="N48" i="1"/>
  <c r="N46" i="1"/>
  <c r="N43" i="1"/>
  <c r="L25" i="14"/>
  <c r="M25" i="14" s="1"/>
  <c r="G55" i="14"/>
  <c r="G56" i="14" s="1"/>
  <c r="D55" i="14"/>
  <c r="D56" i="14" s="1"/>
  <c r="N33" i="1"/>
  <c r="N32" i="1"/>
  <c r="N31" i="1"/>
  <c r="N29" i="1"/>
  <c r="N61" i="1"/>
  <c r="N62" i="1"/>
  <c r="N60" i="1"/>
  <c r="M58" i="1"/>
  <c r="L47" i="14" s="1"/>
  <c r="M47" i="14" s="1"/>
  <c r="N56" i="1"/>
  <c r="N55" i="1"/>
  <c r="N54" i="1"/>
  <c r="N53" i="1"/>
  <c r="N47" i="1"/>
  <c r="N45" i="1"/>
  <c r="N42" i="1"/>
  <c r="N41" i="1"/>
  <c r="M39" i="1"/>
  <c r="L28" i="14" s="1"/>
  <c r="M28" i="14" s="1"/>
  <c r="N37" i="1"/>
  <c r="N36" i="1"/>
  <c r="N35" i="1"/>
  <c r="N34" i="1"/>
  <c r="N27" i="1"/>
  <c r="G239" i="13"/>
  <c r="E239" i="13" s="1"/>
  <c r="F185" i="13"/>
  <c r="G236" i="13"/>
  <c r="E236" i="13" s="1"/>
  <c r="F168" i="13"/>
  <c r="M164" i="13"/>
  <c r="F162" i="13"/>
  <c r="N170" i="13"/>
  <c r="F175" i="13"/>
  <c r="F160" i="13"/>
  <c r="F178" i="13"/>
  <c r="F173" i="13"/>
  <c r="N187" i="13"/>
  <c r="F181" i="13"/>
  <c r="F164" i="13"/>
  <c r="F177" i="13"/>
  <c r="C245" i="13"/>
  <c r="D245" i="13" s="1"/>
  <c r="K167" i="13"/>
  <c r="L167" i="13" s="1"/>
  <c r="G240" i="13"/>
  <c r="E240" i="13" s="1"/>
  <c r="E111" i="1"/>
  <c r="L101" i="14" s="1"/>
  <c r="M101" i="14" s="1"/>
  <c r="E84" i="1"/>
  <c r="L74" i="14" s="1"/>
  <c r="M74" i="14" s="1"/>
  <c r="M177" i="13"/>
  <c r="K177" i="13"/>
  <c r="L177" i="13" s="1"/>
  <c r="K155" i="13"/>
  <c r="L155" i="13" s="1"/>
  <c r="M155" i="13"/>
  <c r="E80" i="1"/>
  <c r="C70" i="14"/>
  <c r="B125" i="14"/>
  <c r="C125" i="14"/>
  <c r="L14" i="14"/>
  <c r="M14" i="14" s="1"/>
  <c r="N25" i="1"/>
  <c r="G242" i="13"/>
  <c r="M170" i="13"/>
  <c r="C232" i="13"/>
  <c r="D232" i="13" s="1"/>
  <c r="C250" i="13"/>
  <c r="D250" i="13" s="1"/>
  <c r="F155" i="13"/>
  <c r="M80" i="1"/>
  <c r="E166" i="14" s="1"/>
  <c r="E167" i="14" s="1"/>
  <c r="M175" i="13"/>
  <c r="E97" i="1"/>
  <c r="L87" i="14" s="1"/>
  <c r="M87" i="14" s="1"/>
  <c r="E115" i="1"/>
  <c r="L105" i="14" s="1"/>
  <c r="M105" i="14" s="1"/>
  <c r="M108" i="1"/>
  <c r="E116" i="1"/>
  <c r="G116" i="1" s="1"/>
  <c r="L108" i="14"/>
  <c r="M108" i="14" s="1"/>
  <c r="Q172" i="1"/>
  <c r="N172" i="1"/>
  <c r="H228" i="1"/>
  <c r="S228" i="1" s="1"/>
  <c r="Q135" i="1"/>
  <c r="N135" i="1"/>
  <c r="H191" i="1"/>
  <c r="S191" i="1" s="1"/>
  <c r="Q163" i="1"/>
  <c r="N163" i="1"/>
  <c r="H219" i="1"/>
  <c r="Q155" i="1"/>
  <c r="N155" i="1"/>
  <c r="H211" i="1"/>
  <c r="Q159" i="1"/>
  <c r="N159" i="1"/>
  <c r="H215" i="1"/>
  <c r="C172" i="1"/>
  <c r="B218" i="14" s="1"/>
  <c r="C135" i="1"/>
  <c r="C154" i="1"/>
  <c r="C200" i="14" s="1"/>
  <c r="C159" i="1"/>
  <c r="C205" i="14" s="1"/>
  <c r="C163" i="1"/>
  <c r="I209" i="14" s="1"/>
  <c r="N142" i="1"/>
  <c r="Q142" i="1"/>
  <c r="H198" i="1"/>
  <c r="B180" i="14"/>
  <c r="E134" i="1"/>
  <c r="E221" i="14" s="1"/>
  <c r="N154" i="1"/>
  <c r="H210" i="1"/>
  <c r="Q154" i="1"/>
  <c r="C142" i="1"/>
  <c r="D188" i="14" s="1"/>
  <c r="E117" i="1"/>
  <c r="L107" i="14" s="1"/>
  <c r="M107" i="14" s="1"/>
  <c r="C156" i="1"/>
  <c r="C202" i="14" s="1"/>
  <c r="Q156" i="1"/>
  <c r="N156" i="1"/>
  <c r="H212" i="1"/>
  <c r="C155" i="1"/>
  <c r="C201" i="14" s="1"/>
  <c r="P38" i="4"/>
  <c r="F33" i="4"/>
  <c r="Q33" i="4"/>
  <c r="F23" i="4"/>
  <c r="Q23" i="4"/>
  <c r="F21" i="4"/>
  <c r="Q21" i="4"/>
  <c r="F32" i="4"/>
  <c r="Q32" i="4"/>
  <c r="F18" i="4"/>
  <c r="Q18" i="4"/>
  <c r="F31" i="4"/>
  <c r="Q31" i="4"/>
  <c r="E234" i="13"/>
  <c r="O234" i="13"/>
  <c r="C234" i="13"/>
  <c r="D234" i="13" s="1"/>
  <c r="O232" i="13"/>
  <c r="M232" i="13" s="1"/>
  <c r="O250" i="13"/>
  <c r="K250" i="13" s="1"/>
  <c r="L250" i="13" s="1"/>
  <c r="K175" i="13"/>
  <c r="L175" i="13" s="1"/>
  <c r="M160" i="13"/>
  <c r="K160" i="13"/>
  <c r="L160" i="13" s="1"/>
  <c r="K178" i="13"/>
  <c r="L178" i="13" s="1"/>
  <c r="M178" i="13"/>
  <c r="K162" i="13"/>
  <c r="L162" i="13" s="1"/>
  <c r="M162" i="13"/>
  <c r="K173" i="13"/>
  <c r="L173" i="13" s="1"/>
  <c r="M173" i="13"/>
  <c r="F172" i="13"/>
  <c r="E263" i="13"/>
  <c r="O263" i="13"/>
  <c r="C263" i="13"/>
  <c r="D263" i="13" s="1"/>
  <c r="M166" i="13"/>
  <c r="G238" i="13"/>
  <c r="K166" i="13"/>
  <c r="L166" i="13" s="1"/>
  <c r="F174" i="13"/>
  <c r="F17" i="4"/>
  <c r="F157" i="13"/>
  <c r="N164" i="13"/>
  <c r="C161" i="1"/>
  <c r="C171" i="1"/>
  <c r="I224" i="1"/>
  <c r="F224" i="1"/>
  <c r="P224" i="1"/>
  <c r="M188" i="13"/>
  <c r="K188" i="13"/>
  <c r="L188" i="13" s="1"/>
  <c r="G260" i="13"/>
  <c r="Q157" i="1"/>
  <c r="N157" i="1"/>
  <c r="H213" i="1"/>
  <c r="C153" i="1"/>
  <c r="I190" i="1"/>
  <c r="F190" i="1"/>
  <c r="P190" i="1"/>
  <c r="T190" i="1" s="1"/>
  <c r="N169" i="13"/>
  <c r="N192" i="13"/>
  <c r="M174" i="13"/>
  <c r="G246" i="13"/>
  <c r="K174" i="13"/>
  <c r="L174" i="13" s="1"/>
  <c r="K259" i="13"/>
  <c r="L259" i="13" s="1"/>
  <c r="M265" i="13"/>
  <c r="K265" i="13"/>
  <c r="L265" i="13" s="1"/>
  <c r="G337" i="13"/>
  <c r="C140" i="1"/>
  <c r="C170" i="1"/>
  <c r="F180" i="13"/>
  <c r="M176" i="13"/>
  <c r="K176" i="13"/>
  <c r="L176" i="13" s="1"/>
  <c r="G248" i="13"/>
  <c r="Q136" i="1"/>
  <c r="N136" i="1"/>
  <c r="H192" i="1"/>
  <c r="Q161" i="1"/>
  <c r="N161" i="1"/>
  <c r="H217" i="1"/>
  <c r="E256" i="13"/>
  <c r="O256" i="13"/>
  <c r="C256" i="13"/>
  <c r="D256" i="13" s="1"/>
  <c r="N163" i="13"/>
  <c r="F179" i="13"/>
  <c r="M189" i="13"/>
  <c r="G261" i="13"/>
  <c r="K189" i="13"/>
  <c r="L189" i="13" s="1"/>
  <c r="I216" i="1"/>
  <c r="F216" i="1"/>
  <c r="P216" i="1"/>
  <c r="C144" i="1"/>
  <c r="L162" i="1"/>
  <c r="C166" i="1"/>
  <c r="E233" i="13"/>
  <c r="O233" i="13"/>
  <c r="C233" i="13"/>
  <c r="D233" i="13" s="1"/>
  <c r="Q148" i="1"/>
  <c r="N148" i="1"/>
  <c r="H204" i="1"/>
  <c r="S204" i="1" s="1"/>
  <c r="M245" i="13"/>
  <c r="G317" i="13"/>
  <c r="K245" i="13"/>
  <c r="L245" i="13" s="1"/>
  <c r="E264" i="13"/>
  <c r="C264" i="13"/>
  <c r="D264" i="13" s="1"/>
  <c r="O264" i="13"/>
  <c r="Q143" i="1"/>
  <c r="N143" i="1"/>
  <c r="H199" i="1"/>
  <c r="S199" i="1" s="1"/>
  <c r="Q151" i="1"/>
  <c r="N151" i="1"/>
  <c r="H207" i="1"/>
  <c r="F186" i="13"/>
  <c r="C152" i="1"/>
  <c r="F265" i="13"/>
  <c r="Q140" i="1"/>
  <c r="N140" i="1"/>
  <c r="H196" i="1"/>
  <c r="Q170" i="1"/>
  <c r="N170" i="1"/>
  <c r="H226" i="1"/>
  <c r="C169" i="1"/>
  <c r="E257" i="13"/>
  <c r="O257" i="13"/>
  <c r="C257" i="13"/>
  <c r="D257" i="13" s="1"/>
  <c r="N139" i="1"/>
  <c r="Q139" i="1"/>
  <c r="H195" i="1"/>
  <c r="N171" i="1"/>
  <c r="Q171" i="1"/>
  <c r="H227" i="1"/>
  <c r="Q146" i="1"/>
  <c r="N146" i="1"/>
  <c r="H202" i="1"/>
  <c r="E237" i="13"/>
  <c r="C237" i="13"/>
  <c r="D237" i="13" s="1"/>
  <c r="O237" i="13"/>
  <c r="C141" i="1"/>
  <c r="C149" i="1"/>
  <c r="C138" i="1"/>
  <c r="C165" i="1"/>
  <c r="C164" i="1"/>
  <c r="F171" i="13"/>
  <c r="N184" i="13"/>
  <c r="F194" i="13"/>
  <c r="E235" i="13"/>
  <c r="O235" i="13"/>
  <c r="C235" i="13"/>
  <c r="D235" i="13" s="1"/>
  <c r="F158" i="13"/>
  <c r="M179" i="13"/>
  <c r="G251" i="13"/>
  <c r="K179" i="13"/>
  <c r="L179" i="13" s="1"/>
  <c r="F189" i="13"/>
  <c r="Q150" i="1"/>
  <c r="N150" i="1"/>
  <c r="H206" i="1"/>
  <c r="M183" i="13"/>
  <c r="K183" i="13"/>
  <c r="L183" i="13" s="1"/>
  <c r="G255" i="13"/>
  <c r="E254" i="13"/>
  <c r="O254" i="13"/>
  <c r="C254" i="13"/>
  <c r="D254" i="13" s="1"/>
  <c r="N158" i="1"/>
  <c r="Q158" i="1"/>
  <c r="H214" i="1"/>
  <c r="F123" i="13"/>
  <c r="I193" i="1"/>
  <c r="F193" i="1"/>
  <c r="P193" i="1"/>
  <c r="I218" i="1"/>
  <c r="F218" i="1"/>
  <c r="P218" i="1"/>
  <c r="Q166" i="1"/>
  <c r="N166" i="1"/>
  <c r="H222" i="1"/>
  <c r="N181" i="13"/>
  <c r="Q152" i="1"/>
  <c r="N152" i="1"/>
  <c r="H208" i="1"/>
  <c r="M180" i="13"/>
  <c r="K180" i="13"/>
  <c r="L180" i="13" s="1"/>
  <c r="G252" i="13"/>
  <c r="F176" i="13"/>
  <c r="C136" i="1"/>
  <c r="F159" i="13"/>
  <c r="F156" i="13"/>
  <c r="C195" i="13"/>
  <c r="C167" i="1"/>
  <c r="Q145" i="1"/>
  <c r="N145" i="1"/>
  <c r="H201" i="1"/>
  <c r="M190" i="13"/>
  <c r="G262" i="13"/>
  <c r="K190" i="13"/>
  <c r="L190" i="13" s="1"/>
  <c r="L160" i="1"/>
  <c r="E247" i="13"/>
  <c r="O247" i="13"/>
  <c r="C247" i="13"/>
  <c r="D247" i="13" s="1"/>
  <c r="C158" i="1"/>
  <c r="Q144" i="1"/>
  <c r="N144" i="1"/>
  <c r="H200" i="1"/>
  <c r="Q147" i="1"/>
  <c r="N147" i="1"/>
  <c r="H203" i="1"/>
  <c r="M172" i="13"/>
  <c r="K172" i="13"/>
  <c r="L172" i="13" s="1"/>
  <c r="G244" i="13"/>
  <c r="N161" i="13"/>
  <c r="F166" i="13"/>
  <c r="M186" i="13"/>
  <c r="G258" i="13"/>
  <c r="K186" i="13"/>
  <c r="L186" i="13" s="1"/>
  <c r="L123" i="13"/>
  <c r="M156" i="13"/>
  <c r="G228" i="13"/>
  <c r="K156" i="13"/>
  <c r="L156" i="13" s="1"/>
  <c r="M249" i="13"/>
  <c r="G321" i="13"/>
  <c r="K249" i="13"/>
  <c r="L249" i="13" s="1"/>
  <c r="N165" i="13"/>
  <c r="Q164" i="1"/>
  <c r="N164" i="1"/>
  <c r="H220" i="1"/>
  <c r="M171" i="13"/>
  <c r="K171" i="13"/>
  <c r="L171" i="13" s="1"/>
  <c r="G243" i="13"/>
  <c r="Q153" i="1"/>
  <c r="N153" i="1"/>
  <c r="H209" i="1"/>
  <c r="N182" i="13"/>
  <c r="F190" i="13"/>
  <c r="L137" i="1"/>
  <c r="Q133" i="1"/>
  <c r="N133" i="1"/>
  <c r="H189" i="1"/>
  <c r="S189" i="1" s="1"/>
  <c r="C147" i="1"/>
  <c r="N191" i="13"/>
  <c r="C148" i="1"/>
  <c r="C143" i="1"/>
  <c r="C151" i="1"/>
  <c r="Q169" i="1"/>
  <c r="N169" i="1"/>
  <c r="H225" i="1"/>
  <c r="M157" i="13"/>
  <c r="K157" i="13"/>
  <c r="L157" i="13" s="1"/>
  <c r="G229" i="13"/>
  <c r="N185" i="13"/>
  <c r="G25" i="4"/>
  <c r="M159" i="13"/>
  <c r="K159" i="13"/>
  <c r="L159" i="13" s="1"/>
  <c r="G231" i="13"/>
  <c r="C139" i="1"/>
  <c r="C146" i="1"/>
  <c r="L168" i="1"/>
  <c r="Q141" i="1"/>
  <c r="N141" i="1"/>
  <c r="H197" i="1"/>
  <c r="Q149" i="1"/>
  <c r="N149" i="1"/>
  <c r="H205" i="1"/>
  <c r="Q167" i="1"/>
  <c r="N167" i="1"/>
  <c r="H223" i="1"/>
  <c r="Q138" i="1"/>
  <c r="N138" i="1"/>
  <c r="H194" i="1"/>
  <c r="S194" i="1" s="1"/>
  <c r="Q165" i="1"/>
  <c r="N165" i="1"/>
  <c r="H221" i="1"/>
  <c r="F188" i="13"/>
  <c r="C157" i="1"/>
  <c r="M194" i="13"/>
  <c r="G266" i="13"/>
  <c r="K194" i="13"/>
  <c r="L194" i="13" s="1"/>
  <c r="M158" i="13"/>
  <c r="K158" i="13"/>
  <c r="L158" i="13" s="1"/>
  <c r="G230" i="13"/>
  <c r="C150" i="1"/>
  <c r="F183" i="13"/>
  <c r="C145" i="1"/>
  <c r="L134" i="1"/>
  <c r="E241" i="13"/>
  <c r="C241" i="13"/>
  <c r="D241" i="13" s="1"/>
  <c r="O241" i="13"/>
  <c r="D227" i="13" l="1"/>
  <c r="F227" i="13" s="1"/>
  <c r="N168" i="13"/>
  <c r="F249" i="13"/>
  <c r="C253" i="13"/>
  <c r="D253" i="13" s="1"/>
  <c r="O236" i="13"/>
  <c r="K232" i="13"/>
  <c r="L232" i="13" s="1"/>
  <c r="G331" i="13"/>
  <c r="C240" i="13"/>
  <c r="D240" i="13" s="1"/>
  <c r="E259" i="13"/>
  <c r="C259" i="13"/>
  <c r="D259" i="13" s="1"/>
  <c r="C236" i="13"/>
  <c r="D236" i="13" s="1"/>
  <c r="C239" i="13"/>
  <c r="D239" i="13" s="1"/>
  <c r="K227" i="13"/>
  <c r="L227" i="13" s="1"/>
  <c r="O239" i="13"/>
  <c r="M239" i="13" s="1"/>
  <c r="M227" i="13"/>
  <c r="G88" i="1"/>
  <c r="G322" i="13"/>
  <c r="E322" i="13" s="1"/>
  <c r="E222" i="14"/>
  <c r="G101" i="1"/>
  <c r="G91" i="1"/>
  <c r="G95" i="1"/>
  <c r="D181" i="14"/>
  <c r="B181" i="14"/>
  <c r="C235" i="14"/>
  <c r="C291" i="14" s="1"/>
  <c r="E235" i="14"/>
  <c r="G80" i="1"/>
  <c r="E111" i="14"/>
  <c r="E112" i="14" s="1"/>
  <c r="O253" i="13"/>
  <c r="M253" i="13" s="1"/>
  <c r="L81" i="14"/>
  <c r="M81" i="14" s="1"/>
  <c r="L86" i="14"/>
  <c r="M86" i="14" s="1"/>
  <c r="G304" i="13"/>
  <c r="E304" i="13" s="1"/>
  <c r="O100" i="1"/>
  <c r="M128" i="14"/>
  <c r="M214" i="14"/>
  <c r="M156" i="14"/>
  <c r="M208" i="14"/>
  <c r="M134" i="14"/>
  <c r="M155" i="14"/>
  <c r="M131" i="14"/>
  <c r="G109" i="1"/>
  <c r="D166" i="14"/>
  <c r="G108" i="1"/>
  <c r="O109" i="1"/>
  <c r="G89" i="1"/>
  <c r="D109" i="14"/>
  <c r="M160" i="14"/>
  <c r="M127" i="14"/>
  <c r="N167" i="13"/>
  <c r="M183" i="14"/>
  <c r="M139" i="14"/>
  <c r="M135" i="14"/>
  <c r="M142" i="14"/>
  <c r="M157" i="14"/>
  <c r="G90" i="1"/>
  <c r="M98" i="14"/>
  <c r="M147" i="14"/>
  <c r="M88" i="14"/>
  <c r="M77" i="14"/>
  <c r="M79" i="14"/>
  <c r="M99" i="14"/>
  <c r="M92" i="14"/>
  <c r="M91" i="14"/>
  <c r="M75" i="14"/>
  <c r="M102" i="14"/>
  <c r="M72" i="14"/>
  <c r="M93" i="14"/>
  <c r="M90" i="14"/>
  <c r="L89" i="14"/>
  <c r="M89" i="14" s="1"/>
  <c r="G99" i="1"/>
  <c r="L136" i="14"/>
  <c r="M136" i="14" s="1"/>
  <c r="G110" i="1"/>
  <c r="G103" i="1"/>
  <c r="G85" i="1"/>
  <c r="O102" i="1"/>
  <c r="M82" i="14"/>
  <c r="M145" i="14"/>
  <c r="D164" i="14"/>
  <c r="I164" i="14"/>
  <c r="E145" i="1"/>
  <c r="G221" i="14" s="1"/>
  <c r="G191" i="14"/>
  <c r="G219" i="14" s="1"/>
  <c r="E150" i="1"/>
  <c r="L196" i="14" s="1"/>
  <c r="D196" i="14"/>
  <c r="E157" i="1"/>
  <c r="L203" i="14" s="1"/>
  <c r="C203" i="14"/>
  <c r="E139" i="1"/>
  <c r="L185" i="14" s="1"/>
  <c r="C185" i="14"/>
  <c r="E151" i="1"/>
  <c r="L197" i="14" s="1"/>
  <c r="D197" i="14"/>
  <c r="E148" i="1"/>
  <c r="L194" i="14" s="1"/>
  <c r="B194" i="14"/>
  <c r="E147" i="1"/>
  <c r="L193" i="14" s="1"/>
  <c r="D193" i="14"/>
  <c r="M137" i="1"/>
  <c r="L238" i="14" s="1"/>
  <c r="C238" i="14"/>
  <c r="C294" i="14" s="1"/>
  <c r="E158" i="1"/>
  <c r="L204" i="14" s="1"/>
  <c r="C204" i="14"/>
  <c r="M160" i="1"/>
  <c r="L261" i="14" s="1"/>
  <c r="C261" i="14"/>
  <c r="C317" i="14" s="1"/>
  <c r="E164" i="1"/>
  <c r="L210" i="14" s="1"/>
  <c r="I210" i="14"/>
  <c r="E138" i="1"/>
  <c r="L184" i="14" s="1"/>
  <c r="B184" i="14"/>
  <c r="E141" i="1"/>
  <c r="L187" i="14" s="1"/>
  <c r="C187" i="14"/>
  <c r="E166" i="1"/>
  <c r="L212" i="14" s="1"/>
  <c r="C212" i="14"/>
  <c r="E140" i="1"/>
  <c r="L186" i="14" s="1"/>
  <c r="D186" i="14"/>
  <c r="E153" i="1"/>
  <c r="L199" i="14" s="1"/>
  <c r="C199" i="14"/>
  <c r="E171" i="1"/>
  <c r="L217" i="14" s="1"/>
  <c r="I217" i="14"/>
  <c r="E161" i="1"/>
  <c r="L207" i="14" s="1"/>
  <c r="C207" i="14"/>
  <c r="M161" i="14"/>
  <c r="M158" i="14"/>
  <c r="M168" i="1"/>
  <c r="L269" i="14" s="1"/>
  <c r="C269" i="14"/>
  <c r="C325" i="14" s="1"/>
  <c r="E146" i="1"/>
  <c r="L192" i="14" s="1"/>
  <c r="D192" i="14"/>
  <c r="M162" i="14"/>
  <c r="M129" i="14"/>
  <c r="M149" i="14"/>
  <c r="E143" i="1"/>
  <c r="L189" i="14" s="1"/>
  <c r="B189" i="14"/>
  <c r="M143" i="14"/>
  <c r="M140" i="14"/>
  <c r="E167" i="1"/>
  <c r="L213" i="14" s="1"/>
  <c r="C213" i="14"/>
  <c r="E136" i="1"/>
  <c r="L182" i="14" s="1"/>
  <c r="D182" i="14"/>
  <c r="O240" i="13"/>
  <c r="M240" i="13" s="1"/>
  <c r="M138" i="14"/>
  <c r="E165" i="1"/>
  <c r="L211" i="14" s="1"/>
  <c r="C211" i="14"/>
  <c r="E149" i="1"/>
  <c r="L195" i="14" s="1"/>
  <c r="D195" i="14"/>
  <c r="M152" i="14"/>
  <c r="M148" i="14"/>
  <c r="M144" i="14"/>
  <c r="E169" i="1"/>
  <c r="L215" i="14" s="1"/>
  <c r="C215" i="14"/>
  <c r="E152" i="1"/>
  <c r="L198" i="14" s="1"/>
  <c r="D198" i="14"/>
  <c r="M132" i="14"/>
  <c r="M162" i="1"/>
  <c r="L263" i="14" s="1"/>
  <c r="I263" i="14"/>
  <c r="E144" i="1"/>
  <c r="L190" i="14" s="1"/>
  <c r="D190" i="14"/>
  <c r="M206" i="14"/>
  <c r="M130" i="14"/>
  <c r="E170" i="1"/>
  <c r="L216" i="14" s="1"/>
  <c r="I216" i="14"/>
  <c r="M141" i="14"/>
  <c r="M137" i="14"/>
  <c r="L97" i="14"/>
  <c r="M97" i="14" s="1"/>
  <c r="G87" i="1"/>
  <c r="G100" i="1"/>
  <c r="G92" i="1"/>
  <c r="G82" i="1"/>
  <c r="G98" i="1"/>
  <c r="G102" i="1"/>
  <c r="G112" i="1"/>
  <c r="M80" i="14"/>
  <c r="M100" i="14"/>
  <c r="G167" i="14"/>
  <c r="I109" i="14"/>
  <c r="M154" i="14"/>
  <c r="L153" i="14"/>
  <c r="M153" i="14" s="1"/>
  <c r="D111" i="14"/>
  <c r="N58" i="1"/>
  <c r="N39" i="1"/>
  <c r="F245" i="13"/>
  <c r="N160" i="13"/>
  <c r="N175" i="13"/>
  <c r="F232" i="13"/>
  <c r="N155" i="13"/>
  <c r="N178" i="13"/>
  <c r="F234" i="13"/>
  <c r="F250" i="13"/>
  <c r="N177" i="13"/>
  <c r="G84" i="1"/>
  <c r="G111" i="1"/>
  <c r="M250" i="13"/>
  <c r="E242" i="13"/>
  <c r="C242" i="13"/>
  <c r="D242" i="13" s="1"/>
  <c r="O242" i="13"/>
  <c r="L70" i="14"/>
  <c r="M70" i="14" s="1"/>
  <c r="L125" i="14"/>
  <c r="M125" i="14" s="1"/>
  <c r="L180" i="14"/>
  <c r="M180" i="14" s="1"/>
  <c r="O80" i="1"/>
  <c r="G97" i="1"/>
  <c r="G115" i="1"/>
  <c r="O108" i="1"/>
  <c r="G117" i="1"/>
  <c r="F215" i="1"/>
  <c r="P215" i="1"/>
  <c r="I215" i="1"/>
  <c r="I211" i="1"/>
  <c r="F211" i="1"/>
  <c r="P211" i="1"/>
  <c r="I191" i="1"/>
  <c r="F191" i="1"/>
  <c r="P191" i="1"/>
  <c r="T191" i="1" s="1"/>
  <c r="L172" i="1"/>
  <c r="I198" i="1"/>
  <c r="F198" i="1"/>
  <c r="P198" i="1"/>
  <c r="E135" i="1"/>
  <c r="E155" i="1"/>
  <c r="L201" i="14" s="1"/>
  <c r="M201" i="14" s="1"/>
  <c r="E142" i="1"/>
  <c r="L188" i="14" s="1"/>
  <c r="L142" i="1"/>
  <c r="E163" i="1"/>
  <c r="L159" i="1"/>
  <c r="L155" i="1"/>
  <c r="C256" i="14" s="1"/>
  <c r="C312" i="14" s="1"/>
  <c r="L135" i="1"/>
  <c r="B236" i="14" s="1"/>
  <c r="L154" i="1"/>
  <c r="C255" i="14" s="1"/>
  <c r="C311" i="14" s="1"/>
  <c r="B235" i="14"/>
  <c r="B291" i="14" s="1"/>
  <c r="M134" i="1"/>
  <c r="E276" i="14" s="1"/>
  <c r="I212" i="1"/>
  <c r="F212" i="1"/>
  <c r="P212" i="1"/>
  <c r="I210" i="1"/>
  <c r="F210" i="1"/>
  <c r="P210" i="1"/>
  <c r="I219" i="1"/>
  <c r="F219" i="1"/>
  <c r="P219" i="1"/>
  <c r="L106" i="14"/>
  <c r="M106" i="14" s="1"/>
  <c r="E159" i="1"/>
  <c r="G159" i="1" s="1"/>
  <c r="L156" i="1"/>
  <c r="L163" i="1"/>
  <c r="I228" i="1"/>
  <c r="F228" i="1"/>
  <c r="P228" i="1"/>
  <c r="T228" i="1" s="1"/>
  <c r="E156" i="1"/>
  <c r="G156" i="1" s="1"/>
  <c r="E154" i="1"/>
  <c r="G154" i="1" s="1"/>
  <c r="E172" i="1"/>
  <c r="L218" i="14" s="1"/>
  <c r="Q38" i="4"/>
  <c r="G33" i="4"/>
  <c r="R33" i="4"/>
  <c r="G31" i="4"/>
  <c r="R31" i="4"/>
  <c r="G18" i="4"/>
  <c r="R18" i="4"/>
  <c r="G32" i="4"/>
  <c r="R32" i="4"/>
  <c r="G21" i="4"/>
  <c r="R21" i="4"/>
  <c r="G23" i="4"/>
  <c r="R23" i="4"/>
  <c r="L73" i="14"/>
  <c r="M73" i="14" s="1"/>
  <c r="G83" i="1"/>
  <c r="O299" i="13"/>
  <c r="E299" i="13"/>
  <c r="C299" i="13"/>
  <c r="D299" i="13" s="1"/>
  <c r="K234" i="13"/>
  <c r="L234" i="13" s="1"/>
  <c r="M234" i="13"/>
  <c r="G306" i="13"/>
  <c r="O83" i="1"/>
  <c r="O86" i="1"/>
  <c r="O107" i="1"/>
  <c r="N162" i="13"/>
  <c r="O116" i="1"/>
  <c r="O113" i="1"/>
  <c r="O103" i="1"/>
  <c r="N173" i="13"/>
  <c r="G137" i="1"/>
  <c r="O104" i="1"/>
  <c r="O90" i="1"/>
  <c r="O110" i="1"/>
  <c r="O115" i="1"/>
  <c r="O94" i="1"/>
  <c r="O89" i="1"/>
  <c r="M241" i="13"/>
  <c r="K241" i="13"/>
  <c r="L241" i="13" s="1"/>
  <c r="G313" i="13"/>
  <c r="L149" i="1"/>
  <c r="I220" i="1"/>
  <c r="F220" i="1"/>
  <c r="P220" i="1"/>
  <c r="L145" i="1"/>
  <c r="C26" i="4"/>
  <c r="E251" i="13"/>
  <c r="C251" i="13"/>
  <c r="D251" i="13" s="1"/>
  <c r="O251" i="13"/>
  <c r="F235" i="13"/>
  <c r="I202" i="1"/>
  <c r="F202" i="1"/>
  <c r="P202" i="1"/>
  <c r="I199" i="1"/>
  <c r="F199" i="1"/>
  <c r="P199" i="1"/>
  <c r="T199" i="1" s="1"/>
  <c r="E317" i="13"/>
  <c r="C317" i="13"/>
  <c r="D317" i="13" s="1"/>
  <c r="O317" i="13"/>
  <c r="E261" i="13"/>
  <c r="O261" i="13"/>
  <c r="C261" i="13"/>
  <c r="D261" i="13" s="1"/>
  <c r="N265" i="13"/>
  <c r="E246" i="13"/>
  <c r="C246" i="13"/>
  <c r="D246" i="13" s="1"/>
  <c r="O246" i="13"/>
  <c r="C190" i="1"/>
  <c r="E190" i="1" s="1"/>
  <c r="I213" i="1"/>
  <c r="F213" i="1"/>
  <c r="P213" i="1"/>
  <c r="E230" i="13"/>
  <c r="O230" i="13"/>
  <c r="C230" i="13"/>
  <c r="D230" i="13" s="1"/>
  <c r="I194" i="1"/>
  <c r="F194" i="1"/>
  <c r="P194" i="1"/>
  <c r="T194" i="1" s="1"/>
  <c r="I205" i="1"/>
  <c r="F205" i="1"/>
  <c r="P205" i="1"/>
  <c r="I197" i="1"/>
  <c r="F197" i="1"/>
  <c r="P197" i="1"/>
  <c r="O304" i="13"/>
  <c r="C304" i="13"/>
  <c r="D304" i="13" s="1"/>
  <c r="O98" i="1"/>
  <c r="O95" i="1"/>
  <c r="E258" i="13"/>
  <c r="C258" i="13"/>
  <c r="D258" i="13" s="1"/>
  <c r="O258" i="13"/>
  <c r="N180" i="13"/>
  <c r="Q218" i="1"/>
  <c r="N218" i="1"/>
  <c r="H272" i="1"/>
  <c r="L139" i="1"/>
  <c r="M257" i="13"/>
  <c r="G329" i="13"/>
  <c r="K257" i="13"/>
  <c r="L257" i="13" s="1"/>
  <c r="I196" i="1"/>
  <c r="F196" i="1"/>
  <c r="P196" i="1"/>
  <c r="L148" i="1"/>
  <c r="F256" i="13"/>
  <c r="G160" i="1"/>
  <c r="L161" i="1"/>
  <c r="L136" i="1"/>
  <c r="O97" i="1"/>
  <c r="O111" i="1"/>
  <c r="N158" i="13"/>
  <c r="N194" i="13"/>
  <c r="O82" i="1"/>
  <c r="E231" i="13"/>
  <c r="C231" i="13"/>
  <c r="D231" i="13" s="1"/>
  <c r="O231" i="13"/>
  <c r="H25" i="4"/>
  <c r="O117" i="1"/>
  <c r="E229" i="13"/>
  <c r="O229" i="13"/>
  <c r="C229" i="13"/>
  <c r="D229" i="13" s="1"/>
  <c r="O84" i="1"/>
  <c r="I189" i="1"/>
  <c r="F189" i="1"/>
  <c r="P189" i="1"/>
  <c r="T189" i="1" s="1"/>
  <c r="C322" i="13"/>
  <c r="D322" i="13" s="1"/>
  <c r="G134" i="1"/>
  <c r="N171" i="13"/>
  <c r="N249" i="13"/>
  <c r="E228" i="13"/>
  <c r="C228" i="13"/>
  <c r="D228" i="13" s="1"/>
  <c r="O228" i="13"/>
  <c r="E244" i="13"/>
  <c r="O244" i="13"/>
  <c r="C244" i="13"/>
  <c r="D244" i="13" s="1"/>
  <c r="M247" i="13"/>
  <c r="G319" i="13"/>
  <c r="K247" i="13"/>
  <c r="L247" i="13" s="1"/>
  <c r="N190" i="13"/>
  <c r="N123" i="13"/>
  <c r="D26" i="4" s="1"/>
  <c r="D35" i="4" s="1"/>
  <c r="L158" i="1"/>
  <c r="O93" i="1"/>
  <c r="E255" i="13"/>
  <c r="O255" i="13"/>
  <c r="C255" i="13"/>
  <c r="D255" i="13" s="1"/>
  <c r="G168" i="1"/>
  <c r="F237" i="13"/>
  <c r="L146" i="1"/>
  <c r="L151" i="1"/>
  <c r="L143" i="1"/>
  <c r="I204" i="1"/>
  <c r="F204" i="1"/>
  <c r="P204" i="1"/>
  <c r="T204" i="1" s="1"/>
  <c r="F233" i="13"/>
  <c r="O87" i="1"/>
  <c r="C216" i="1"/>
  <c r="E216" i="1" s="1"/>
  <c r="M256" i="13"/>
  <c r="K256" i="13"/>
  <c r="L256" i="13" s="1"/>
  <c r="G328" i="13"/>
  <c r="I217" i="1"/>
  <c r="F217" i="1"/>
  <c r="P217" i="1"/>
  <c r="I192" i="1"/>
  <c r="F192" i="1"/>
  <c r="P192" i="1"/>
  <c r="E248" i="13"/>
  <c r="O248" i="13"/>
  <c r="C248" i="13"/>
  <c r="D248" i="13" s="1"/>
  <c r="O85" i="1"/>
  <c r="N259" i="13"/>
  <c r="O91" i="1"/>
  <c r="Q190" i="1"/>
  <c r="N190" i="1"/>
  <c r="H244" i="1"/>
  <c r="S244" i="1" s="1"/>
  <c r="E260" i="13"/>
  <c r="O260" i="13"/>
  <c r="C260" i="13"/>
  <c r="D260" i="13" s="1"/>
  <c r="O112" i="1"/>
  <c r="C224" i="1"/>
  <c r="E224" i="1" s="1"/>
  <c r="N166" i="13"/>
  <c r="M263" i="13"/>
  <c r="G335" i="13"/>
  <c r="K263" i="13"/>
  <c r="L263" i="13" s="1"/>
  <c r="L141" i="1"/>
  <c r="N186" i="13"/>
  <c r="G311" i="13"/>
  <c r="K239" i="13"/>
  <c r="L239" i="13" s="1"/>
  <c r="E252" i="13"/>
  <c r="O252" i="13"/>
  <c r="C252" i="13"/>
  <c r="D252" i="13" s="1"/>
  <c r="L152" i="1"/>
  <c r="Q193" i="1"/>
  <c r="N193" i="1"/>
  <c r="H247" i="1"/>
  <c r="M254" i="13"/>
  <c r="K254" i="13"/>
  <c r="L254" i="13" s="1"/>
  <c r="G326" i="13"/>
  <c r="L150" i="1"/>
  <c r="I227" i="1"/>
  <c r="F227" i="1"/>
  <c r="P227" i="1"/>
  <c r="I195" i="1"/>
  <c r="F195" i="1"/>
  <c r="P195" i="1"/>
  <c r="F257" i="13"/>
  <c r="L140" i="1"/>
  <c r="I207" i="1"/>
  <c r="F207" i="1"/>
  <c r="P207" i="1"/>
  <c r="M264" i="13"/>
  <c r="G336" i="13"/>
  <c r="K264" i="13"/>
  <c r="L264" i="13" s="1"/>
  <c r="G17" i="4"/>
  <c r="F241" i="13"/>
  <c r="I221" i="1"/>
  <c r="F221" i="1"/>
  <c r="P221" i="1"/>
  <c r="I223" i="1"/>
  <c r="F223" i="1"/>
  <c r="P223" i="1"/>
  <c r="I225" i="1"/>
  <c r="F225" i="1"/>
  <c r="P225" i="1"/>
  <c r="I209" i="1"/>
  <c r="F209" i="1"/>
  <c r="P209" i="1"/>
  <c r="E243" i="13"/>
  <c r="C243" i="13"/>
  <c r="D243" i="13" s="1"/>
  <c r="O243" i="13"/>
  <c r="N156" i="13"/>
  <c r="K195" i="13"/>
  <c r="I203" i="1"/>
  <c r="F203" i="1"/>
  <c r="P203" i="1"/>
  <c r="I200" i="1"/>
  <c r="F200" i="1"/>
  <c r="P200" i="1"/>
  <c r="F247" i="13"/>
  <c r="I201" i="1"/>
  <c r="F201" i="1"/>
  <c r="P201" i="1"/>
  <c r="I208" i="1"/>
  <c r="F208" i="1"/>
  <c r="P208" i="1"/>
  <c r="I222" i="1"/>
  <c r="F222" i="1"/>
  <c r="P222" i="1"/>
  <c r="K240" i="13"/>
  <c r="L240" i="13" s="1"/>
  <c r="F214" i="1"/>
  <c r="I214" i="1"/>
  <c r="P214" i="1"/>
  <c r="I206" i="1"/>
  <c r="F206" i="1"/>
  <c r="P206" i="1"/>
  <c r="M235" i="13"/>
  <c r="K235" i="13"/>
  <c r="L235" i="13" s="1"/>
  <c r="G307" i="13"/>
  <c r="M237" i="13"/>
  <c r="G309" i="13"/>
  <c r="K237" i="13"/>
  <c r="L237" i="13" s="1"/>
  <c r="G162" i="1"/>
  <c r="L171" i="1"/>
  <c r="O99" i="1"/>
  <c r="I226" i="1"/>
  <c r="F226" i="1"/>
  <c r="P226" i="1"/>
  <c r="F264" i="13"/>
  <c r="O92" i="1"/>
  <c r="F263" i="13"/>
  <c r="E266" i="13"/>
  <c r="C266" i="13"/>
  <c r="D266" i="13" s="1"/>
  <c r="O266" i="13"/>
  <c r="L165" i="1"/>
  <c r="L138" i="1"/>
  <c r="L167" i="1"/>
  <c r="N159" i="13"/>
  <c r="M236" i="13"/>
  <c r="G308" i="13"/>
  <c r="K236" i="13"/>
  <c r="L236" i="13" s="1"/>
  <c r="N157" i="13"/>
  <c r="L169" i="1"/>
  <c r="N250" i="13"/>
  <c r="L153" i="1"/>
  <c r="L164" i="1"/>
  <c r="E321" i="13"/>
  <c r="C321" i="13"/>
  <c r="D321" i="13" s="1"/>
  <c r="O321" i="13"/>
  <c r="K253" i="13"/>
  <c r="L253" i="13" s="1"/>
  <c r="N172" i="13"/>
  <c r="L147" i="1"/>
  <c r="L144" i="1"/>
  <c r="E262" i="13"/>
  <c r="C262" i="13"/>
  <c r="D262" i="13" s="1"/>
  <c r="O262" i="13"/>
  <c r="D195" i="13"/>
  <c r="L166" i="1"/>
  <c r="C218" i="1"/>
  <c r="E218" i="1" s="1"/>
  <c r="C193" i="1"/>
  <c r="E193" i="1" s="1"/>
  <c r="F254" i="13"/>
  <c r="N183" i="13"/>
  <c r="N179" i="13"/>
  <c r="L170" i="1"/>
  <c r="N245" i="13"/>
  <c r="M233" i="13"/>
  <c r="G305" i="13"/>
  <c r="K233" i="13"/>
  <c r="L233" i="13" s="1"/>
  <c r="Q216" i="1"/>
  <c r="N216" i="1"/>
  <c r="H270" i="1"/>
  <c r="N189" i="13"/>
  <c r="N176" i="13"/>
  <c r="E337" i="13"/>
  <c r="O337" i="13"/>
  <c r="C337" i="13"/>
  <c r="D337" i="13" s="1"/>
  <c r="E331" i="13"/>
  <c r="O331" i="13"/>
  <c r="C331" i="13"/>
  <c r="D331" i="13" s="1"/>
  <c r="N174" i="13"/>
  <c r="L157" i="1"/>
  <c r="N188" i="13"/>
  <c r="N224" i="1"/>
  <c r="Q224" i="1"/>
  <c r="H278" i="1"/>
  <c r="O96" i="1"/>
  <c r="E238" i="13"/>
  <c r="C238" i="13"/>
  <c r="D238" i="13" s="1"/>
  <c r="O238" i="13"/>
  <c r="F253" i="13" l="1"/>
  <c r="F236" i="13"/>
  <c r="F239" i="13"/>
  <c r="F240" i="13"/>
  <c r="N232" i="13"/>
  <c r="N227" i="13"/>
  <c r="F259" i="13"/>
  <c r="G325" i="13"/>
  <c r="E325" i="13" s="1"/>
  <c r="O322" i="13"/>
  <c r="K322" i="13" s="1"/>
  <c r="L322" i="13" s="1"/>
  <c r="G312" i="13"/>
  <c r="E312" i="13" s="1"/>
  <c r="M193" i="14"/>
  <c r="M215" i="14"/>
  <c r="M185" i="14"/>
  <c r="M187" i="14"/>
  <c r="B292" i="14"/>
  <c r="E291" i="14"/>
  <c r="E330" i="14" s="1"/>
  <c r="E274" i="14"/>
  <c r="E277" i="14" s="1"/>
  <c r="M186" i="14"/>
  <c r="M207" i="14"/>
  <c r="M194" i="14"/>
  <c r="M196" i="14"/>
  <c r="M210" i="14"/>
  <c r="M197" i="14"/>
  <c r="M199" i="14"/>
  <c r="M182" i="14"/>
  <c r="I219" i="14"/>
  <c r="M217" i="14"/>
  <c r="M212" i="14"/>
  <c r="M211" i="14"/>
  <c r="M204" i="14"/>
  <c r="M203" i="14"/>
  <c r="M190" i="14"/>
  <c r="M184" i="14"/>
  <c r="D112" i="14"/>
  <c r="D167" i="14"/>
  <c r="G222" i="14"/>
  <c r="M198" i="14"/>
  <c r="M192" i="14"/>
  <c r="D219" i="14"/>
  <c r="M157" i="1"/>
  <c r="L258" i="14" s="1"/>
  <c r="C258" i="14"/>
  <c r="C314" i="14" s="1"/>
  <c r="M144" i="1"/>
  <c r="L245" i="14" s="1"/>
  <c r="D245" i="14"/>
  <c r="D301" i="14" s="1"/>
  <c r="M138" i="1"/>
  <c r="L239" i="14" s="1"/>
  <c r="B239" i="14"/>
  <c r="B295" i="14" s="1"/>
  <c r="M151" i="1"/>
  <c r="L252" i="14" s="1"/>
  <c r="D252" i="14"/>
  <c r="D308" i="14" s="1"/>
  <c r="M148" i="1"/>
  <c r="L249" i="14" s="1"/>
  <c r="B249" i="14"/>
  <c r="B305" i="14" s="1"/>
  <c r="M135" i="1"/>
  <c r="L236" i="14" s="1"/>
  <c r="D236" i="14"/>
  <c r="I319" i="14"/>
  <c r="M153" i="1"/>
  <c r="L254" i="14" s="1"/>
  <c r="C254" i="14"/>
  <c r="C310" i="14" s="1"/>
  <c r="M140" i="1"/>
  <c r="L241" i="14" s="1"/>
  <c r="D241" i="14"/>
  <c r="D297" i="14" s="1"/>
  <c r="M152" i="1"/>
  <c r="L253" i="14" s="1"/>
  <c r="D253" i="14"/>
  <c r="D309" i="14" s="1"/>
  <c r="M141" i="1"/>
  <c r="L242" i="14" s="1"/>
  <c r="C242" i="14"/>
  <c r="C298" i="14" s="1"/>
  <c r="M158" i="1"/>
  <c r="L259" i="14" s="1"/>
  <c r="C259" i="14"/>
  <c r="C315" i="14" s="1"/>
  <c r="M136" i="1"/>
  <c r="L237" i="14" s="1"/>
  <c r="D237" i="14"/>
  <c r="D293" i="14" s="1"/>
  <c r="M163" i="1"/>
  <c r="L264" i="14" s="1"/>
  <c r="I264" i="14"/>
  <c r="I320" i="14" s="1"/>
  <c r="M159" i="1"/>
  <c r="L260" i="14" s="1"/>
  <c r="C260" i="14"/>
  <c r="C316" i="14" s="1"/>
  <c r="M142" i="1"/>
  <c r="L243" i="14" s="1"/>
  <c r="D243" i="14"/>
  <c r="D299" i="14" s="1"/>
  <c r="M170" i="1"/>
  <c r="L271" i="14" s="1"/>
  <c r="I271" i="14"/>
  <c r="I327" i="14" s="1"/>
  <c r="M166" i="1"/>
  <c r="L267" i="14" s="1"/>
  <c r="C267" i="14"/>
  <c r="C323" i="14" s="1"/>
  <c r="M147" i="1"/>
  <c r="L248" i="14" s="1"/>
  <c r="D248" i="14"/>
  <c r="D304" i="14" s="1"/>
  <c r="M164" i="1"/>
  <c r="L265" i="14" s="1"/>
  <c r="I265" i="14"/>
  <c r="I321" i="14" s="1"/>
  <c r="M169" i="1"/>
  <c r="L270" i="14" s="1"/>
  <c r="C270" i="14"/>
  <c r="C326" i="14" s="1"/>
  <c r="M167" i="1"/>
  <c r="L268" i="14" s="1"/>
  <c r="C268" i="14"/>
  <c r="C324" i="14" s="1"/>
  <c r="M165" i="1"/>
  <c r="L266" i="14" s="1"/>
  <c r="C266" i="14"/>
  <c r="C322" i="14" s="1"/>
  <c r="M171" i="1"/>
  <c r="L272" i="14" s="1"/>
  <c r="I272" i="14"/>
  <c r="I328" i="14" s="1"/>
  <c r="M216" i="14"/>
  <c r="M150" i="1"/>
  <c r="L251" i="14" s="1"/>
  <c r="D251" i="14"/>
  <c r="D307" i="14" s="1"/>
  <c r="M189" i="14"/>
  <c r="M143" i="1"/>
  <c r="L244" i="14" s="1"/>
  <c r="B244" i="14"/>
  <c r="B300" i="14" s="1"/>
  <c r="M146" i="1"/>
  <c r="L247" i="14" s="1"/>
  <c r="D247" i="14"/>
  <c r="D303" i="14" s="1"/>
  <c r="M195" i="14"/>
  <c r="M213" i="14"/>
  <c r="L191" i="14"/>
  <c r="M191" i="14" s="1"/>
  <c r="M161" i="1"/>
  <c r="L262" i="14" s="1"/>
  <c r="C262" i="14"/>
  <c r="C318" i="14" s="1"/>
  <c r="M139" i="1"/>
  <c r="L240" i="14" s="1"/>
  <c r="C240" i="14"/>
  <c r="M145" i="1"/>
  <c r="G276" i="14" s="1"/>
  <c r="G246" i="14"/>
  <c r="M149" i="1"/>
  <c r="L250" i="14" s="1"/>
  <c r="D250" i="14"/>
  <c r="D306" i="14" s="1"/>
  <c r="M156" i="1"/>
  <c r="L257" i="14" s="1"/>
  <c r="C257" i="14"/>
  <c r="C313" i="14" s="1"/>
  <c r="M172" i="1"/>
  <c r="L273" i="14" s="1"/>
  <c r="L329" i="14" s="1"/>
  <c r="B273" i="14"/>
  <c r="B329" i="14" s="1"/>
  <c r="L209" i="14"/>
  <c r="L181" i="14"/>
  <c r="M181" i="14" s="1"/>
  <c r="D221" i="14"/>
  <c r="N234" i="13"/>
  <c r="F299" i="13"/>
  <c r="F242" i="13"/>
  <c r="M242" i="13"/>
  <c r="G314" i="13"/>
  <c r="K242" i="13"/>
  <c r="L242" i="13" s="1"/>
  <c r="L235" i="14"/>
  <c r="L291" i="14" s="1"/>
  <c r="L200" i="14"/>
  <c r="M200" i="14" s="1"/>
  <c r="L202" i="14"/>
  <c r="L205" i="14"/>
  <c r="M188" i="14"/>
  <c r="M218" i="14"/>
  <c r="Q228" i="1"/>
  <c r="N228" i="1"/>
  <c r="H282" i="1"/>
  <c r="S282" i="1" s="1"/>
  <c r="C210" i="1"/>
  <c r="M154" i="1"/>
  <c r="L255" i="14" s="1"/>
  <c r="Q198" i="1"/>
  <c r="N198" i="1"/>
  <c r="H252" i="1"/>
  <c r="G172" i="1"/>
  <c r="G163" i="1"/>
  <c r="G155" i="1"/>
  <c r="Q191" i="1"/>
  <c r="N191" i="1"/>
  <c r="H245" i="1"/>
  <c r="S245" i="1" s="1"/>
  <c r="C215" i="1"/>
  <c r="C228" i="1"/>
  <c r="Q219" i="1"/>
  <c r="N219" i="1"/>
  <c r="H273" i="1"/>
  <c r="H266" i="1"/>
  <c r="Q212" i="1"/>
  <c r="N212" i="1"/>
  <c r="C198" i="1"/>
  <c r="H269" i="1"/>
  <c r="Q215" i="1"/>
  <c r="N215" i="1"/>
  <c r="C191" i="1"/>
  <c r="C219" i="1"/>
  <c r="C212" i="1"/>
  <c r="M155" i="1"/>
  <c r="L256" i="14" s="1"/>
  <c r="Q211" i="1"/>
  <c r="N211" i="1"/>
  <c r="H265" i="1"/>
  <c r="Q210" i="1"/>
  <c r="N210" i="1"/>
  <c r="H264" i="1"/>
  <c r="G142" i="1"/>
  <c r="G135" i="1"/>
  <c r="C211" i="1"/>
  <c r="H23" i="4"/>
  <c r="S23" i="4"/>
  <c r="H32" i="4"/>
  <c r="S32" i="4"/>
  <c r="R38" i="4"/>
  <c r="H31" i="4"/>
  <c r="S31" i="4"/>
  <c r="H33" i="4"/>
  <c r="S33" i="4"/>
  <c r="H21" i="4"/>
  <c r="S21" i="4"/>
  <c r="H18" i="4"/>
  <c r="S18" i="4"/>
  <c r="C306" i="13"/>
  <c r="D306" i="13" s="1"/>
  <c r="E306" i="13"/>
  <c r="O306" i="13"/>
  <c r="K299" i="13"/>
  <c r="L299" i="13" s="1"/>
  <c r="M299" i="13"/>
  <c r="G371" i="13"/>
  <c r="O168" i="1"/>
  <c r="G147" i="1"/>
  <c r="G158" i="1"/>
  <c r="G143" i="1"/>
  <c r="G153" i="1"/>
  <c r="G136" i="1"/>
  <c r="G148" i="1"/>
  <c r="O162" i="1"/>
  <c r="G167" i="1"/>
  <c r="G152" i="1"/>
  <c r="G146" i="1"/>
  <c r="O134" i="1"/>
  <c r="G140" i="1"/>
  <c r="G165" i="1"/>
  <c r="G150" i="1"/>
  <c r="G166" i="1"/>
  <c r="G141" i="1"/>
  <c r="M337" i="13"/>
  <c r="G409" i="13"/>
  <c r="K337" i="13"/>
  <c r="L337" i="13" s="1"/>
  <c r="I270" i="1"/>
  <c r="F270" i="1"/>
  <c r="P270" i="1"/>
  <c r="L294" i="14"/>
  <c r="M238" i="14"/>
  <c r="M294" i="14" s="1"/>
  <c r="C312" i="13"/>
  <c r="D312" i="13" s="1"/>
  <c r="M243" i="13"/>
  <c r="G315" i="13"/>
  <c r="K243" i="13"/>
  <c r="L243" i="13" s="1"/>
  <c r="Q207" i="1"/>
  <c r="N207" i="1"/>
  <c r="H261" i="1"/>
  <c r="F252" i="13"/>
  <c r="L190" i="1"/>
  <c r="M190" i="1" s="1"/>
  <c r="C192" i="1"/>
  <c r="E192" i="1" s="1"/>
  <c r="C217" i="1"/>
  <c r="E217" i="1" s="1"/>
  <c r="Q204" i="1"/>
  <c r="N204" i="1"/>
  <c r="H258" i="1"/>
  <c r="S258" i="1" s="1"/>
  <c r="F244" i="13"/>
  <c r="F322" i="13"/>
  <c r="F258" i="13"/>
  <c r="Q205" i="1"/>
  <c r="N205" i="1"/>
  <c r="H259" i="1"/>
  <c r="F230" i="13"/>
  <c r="C213" i="1"/>
  <c r="E213" i="1" s="1"/>
  <c r="F261" i="13"/>
  <c r="C202" i="1"/>
  <c r="E202" i="1" s="1"/>
  <c r="M251" i="13"/>
  <c r="G323" i="13"/>
  <c r="K251" i="13"/>
  <c r="L251" i="13" s="1"/>
  <c r="Q220" i="1"/>
  <c r="N220" i="1"/>
  <c r="H274" i="1"/>
  <c r="G161" i="1"/>
  <c r="N253" i="13"/>
  <c r="M266" i="13"/>
  <c r="G338" i="13"/>
  <c r="K266" i="13"/>
  <c r="L266" i="13" s="1"/>
  <c r="N237" i="13"/>
  <c r="C208" i="1"/>
  <c r="E208" i="1" s="1"/>
  <c r="Q200" i="1"/>
  <c r="N200" i="1"/>
  <c r="H254" i="1"/>
  <c r="C221" i="1"/>
  <c r="E221" i="1" s="1"/>
  <c r="L193" i="1"/>
  <c r="M193" i="1" s="1"/>
  <c r="Q192" i="1"/>
  <c r="N192" i="1"/>
  <c r="H246" i="1"/>
  <c r="E328" i="13"/>
  <c r="O328" i="13"/>
  <c r="C328" i="13"/>
  <c r="D328" i="13" s="1"/>
  <c r="F255" i="13"/>
  <c r="F229" i="13"/>
  <c r="M231" i="13"/>
  <c r="K231" i="13"/>
  <c r="L231" i="13" s="1"/>
  <c r="G303" i="13"/>
  <c r="Q196" i="1"/>
  <c r="N196" i="1"/>
  <c r="H250" i="1"/>
  <c r="L218" i="1"/>
  <c r="M218" i="1" s="1"/>
  <c r="O160" i="1"/>
  <c r="F304" i="13"/>
  <c r="M261" i="13"/>
  <c r="K261" i="13"/>
  <c r="L261" i="13" s="1"/>
  <c r="G333" i="13"/>
  <c r="M317" i="13"/>
  <c r="K317" i="13"/>
  <c r="L317" i="13" s="1"/>
  <c r="G389" i="13"/>
  <c r="G169" i="1"/>
  <c r="G138" i="1"/>
  <c r="F251" i="13"/>
  <c r="L216" i="1"/>
  <c r="M216" i="1" s="1"/>
  <c r="G193" i="1"/>
  <c r="C325" i="13"/>
  <c r="D325" i="13" s="1"/>
  <c r="O325" i="13"/>
  <c r="F321" i="13"/>
  <c r="F266" i="13"/>
  <c r="C226" i="1"/>
  <c r="E226" i="1" s="1"/>
  <c r="E309" i="13"/>
  <c r="O309" i="13"/>
  <c r="C309" i="13"/>
  <c r="D309" i="13" s="1"/>
  <c r="Q222" i="1"/>
  <c r="N222" i="1"/>
  <c r="H276" i="1"/>
  <c r="Q208" i="1"/>
  <c r="N208" i="1"/>
  <c r="H262" i="1"/>
  <c r="F195" i="13"/>
  <c r="E26" i="4" s="1"/>
  <c r="E35" i="4" s="1"/>
  <c r="C201" i="1"/>
  <c r="E201" i="1" s="1"/>
  <c r="L195" i="13"/>
  <c r="N195" i="13" s="1"/>
  <c r="F26" i="4" s="1"/>
  <c r="F35" i="4" s="1"/>
  <c r="C209" i="1"/>
  <c r="E209" i="1" s="1"/>
  <c r="G139" i="1"/>
  <c r="G170" i="1"/>
  <c r="E336" i="13"/>
  <c r="C336" i="13"/>
  <c r="D336" i="13" s="1"/>
  <c r="O336" i="13"/>
  <c r="C207" i="1"/>
  <c r="E207" i="1" s="1"/>
  <c r="I247" i="1"/>
  <c r="F247" i="1"/>
  <c r="P247" i="1"/>
  <c r="M260" i="13"/>
  <c r="K260" i="13"/>
  <c r="L260" i="13" s="1"/>
  <c r="G332" i="13"/>
  <c r="I244" i="1"/>
  <c r="F244" i="1"/>
  <c r="P244" i="1"/>
  <c r="T244" i="1" s="1"/>
  <c r="F248" i="13"/>
  <c r="N256" i="13"/>
  <c r="G144" i="1"/>
  <c r="M255" i="13"/>
  <c r="G327" i="13"/>
  <c r="K255" i="13"/>
  <c r="L255" i="13" s="1"/>
  <c r="N247" i="13"/>
  <c r="Q189" i="1"/>
  <c r="N189" i="1"/>
  <c r="H243" i="1"/>
  <c r="S243" i="1" s="1"/>
  <c r="M229" i="13"/>
  <c r="K229" i="13"/>
  <c r="L229" i="13" s="1"/>
  <c r="G301" i="13"/>
  <c r="F231" i="13"/>
  <c r="G157" i="1"/>
  <c r="G145" i="1"/>
  <c r="E329" i="13"/>
  <c r="O329" i="13"/>
  <c r="C329" i="13"/>
  <c r="D329" i="13" s="1"/>
  <c r="F272" i="1"/>
  <c r="I272" i="1"/>
  <c r="P272" i="1"/>
  <c r="M304" i="13"/>
  <c r="K304" i="13"/>
  <c r="L304" i="13" s="1"/>
  <c r="G376" i="13"/>
  <c r="C205" i="1"/>
  <c r="E205" i="1" s="1"/>
  <c r="C194" i="1"/>
  <c r="E194" i="1" s="1"/>
  <c r="G190" i="1"/>
  <c r="F317" i="13"/>
  <c r="C199" i="1"/>
  <c r="E199" i="1" s="1"/>
  <c r="Q202" i="1"/>
  <c r="N202" i="1"/>
  <c r="H256" i="1"/>
  <c r="C35" i="4"/>
  <c r="E313" i="13"/>
  <c r="O313" i="13"/>
  <c r="C313" i="13"/>
  <c r="D313" i="13" s="1"/>
  <c r="F238" i="13"/>
  <c r="L224" i="1"/>
  <c r="M224" i="1" s="1"/>
  <c r="F331" i="13"/>
  <c r="N233" i="13"/>
  <c r="G218" i="1"/>
  <c r="M262" i="13"/>
  <c r="K262" i="13"/>
  <c r="L262" i="13" s="1"/>
  <c r="G334" i="13"/>
  <c r="N236" i="13"/>
  <c r="Q226" i="1"/>
  <c r="N226" i="1"/>
  <c r="H280" i="1"/>
  <c r="E307" i="13"/>
  <c r="C307" i="13"/>
  <c r="D307" i="13" s="1"/>
  <c r="O307" i="13"/>
  <c r="C214" i="1"/>
  <c r="E214" i="1" s="1"/>
  <c r="C222" i="1"/>
  <c r="E222" i="1" s="1"/>
  <c r="C200" i="1"/>
  <c r="E200" i="1" s="1"/>
  <c r="Q225" i="1"/>
  <c r="N225" i="1"/>
  <c r="H279" i="1"/>
  <c r="Q195" i="1"/>
  <c r="N195" i="1"/>
  <c r="H249" i="1"/>
  <c r="Q227" i="1"/>
  <c r="N227" i="1"/>
  <c r="H281" i="1"/>
  <c r="N254" i="13"/>
  <c r="E311" i="13"/>
  <c r="C311" i="13"/>
  <c r="D311" i="13" s="1"/>
  <c r="O311" i="13"/>
  <c r="N263" i="13"/>
  <c r="G216" i="1"/>
  <c r="C267" i="13"/>
  <c r="C196" i="1"/>
  <c r="E196" i="1" s="1"/>
  <c r="L317" i="14"/>
  <c r="M261" i="14"/>
  <c r="M317" i="14" s="1"/>
  <c r="Q197" i="1"/>
  <c r="N197" i="1"/>
  <c r="H251" i="1"/>
  <c r="Q194" i="1"/>
  <c r="N194" i="1"/>
  <c r="H248" i="1"/>
  <c r="S248" i="1" s="1"/>
  <c r="F246" i="13"/>
  <c r="Q199" i="1"/>
  <c r="N199" i="1"/>
  <c r="H253" i="1"/>
  <c r="S253" i="1" s="1"/>
  <c r="M331" i="13"/>
  <c r="K331" i="13"/>
  <c r="L331" i="13" s="1"/>
  <c r="G403" i="13"/>
  <c r="E305" i="13"/>
  <c r="O305" i="13"/>
  <c r="C305" i="13"/>
  <c r="D305" i="13" s="1"/>
  <c r="F262" i="13"/>
  <c r="M321" i="13"/>
  <c r="G393" i="13"/>
  <c r="K321" i="13"/>
  <c r="L321" i="13" s="1"/>
  <c r="O137" i="1"/>
  <c r="E308" i="13"/>
  <c r="O308" i="13"/>
  <c r="C308" i="13"/>
  <c r="D308" i="13" s="1"/>
  <c r="G171" i="1"/>
  <c r="N235" i="13"/>
  <c r="C206" i="1"/>
  <c r="E206" i="1" s="1"/>
  <c r="Q203" i="1"/>
  <c r="N203" i="1"/>
  <c r="H257" i="1"/>
  <c r="F243" i="13"/>
  <c r="C223" i="1"/>
  <c r="E223" i="1" s="1"/>
  <c r="N264" i="13"/>
  <c r="G164" i="1"/>
  <c r="M252" i="13"/>
  <c r="G324" i="13"/>
  <c r="K252" i="13"/>
  <c r="L252" i="13" s="1"/>
  <c r="E335" i="13"/>
  <c r="C335" i="13"/>
  <c r="D335" i="13" s="1"/>
  <c r="O335" i="13"/>
  <c r="F260" i="13"/>
  <c r="Q217" i="1"/>
  <c r="N217" i="1"/>
  <c r="H271" i="1"/>
  <c r="G149" i="1"/>
  <c r="M244" i="13"/>
  <c r="G316" i="13"/>
  <c r="K244" i="13"/>
  <c r="L244" i="13" s="1"/>
  <c r="C189" i="1"/>
  <c r="E189" i="1" s="1"/>
  <c r="G151" i="1"/>
  <c r="N257" i="13"/>
  <c r="M230" i="13"/>
  <c r="G302" i="13"/>
  <c r="K230" i="13"/>
  <c r="L230" i="13" s="1"/>
  <c r="Q213" i="1"/>
  <c r="N213" i="1"/>
  <c r="H267" i="1"/>
  <c r="M238" i="13"/>
  <c r="G310" i="13"/>
  <c r="K238" i="13"/>
  <c r="L238" i="13" s="1"/>
  <c r="I278" i="1"/>
  <c r="F278" i="1"/>
  <c r="P278" i="1"/>
  <c r="F337" i="13"/>
  <c r="Q206" i="1"/>
  <c r="N206" i="1"/>
  <c r="H260" i="1"/>
  <c r="Q214" i="1"/>
  <c r="N214" i="1"/>
  <c r="H268" i="1"/>
  <c r="N240" i="13"/>
  <c r="N201" i="1"/>
  <c r="Q201" i="1"/>
  <c r="H255" i="1"/>
  <c r="C203" i="1"/>
  <c r="E203" i="1" s="1"/>
  <c r="Q209" i="1"/>
  <c r="N209" i="1"/>
  <c r="H263" i="1"/>
  <c r="C225" i="1"/>
  <c r="E225" i="1" s="1"/>
  <c r="Q223" i="1"/>
  <c r="N223" i="1"/>
  <c r="H277" i="1"/>
  <c r="Q221" i="1"/>
  <c r="N221" i="1"/>
  <c r="H275" i="1"/>
  <c r="H17" i="4"/>
  <c r="I17" i="4" s="1"/>
  <c r="J17" i="4" s="1"/>
  <c r="K17" i="4" s="1"/>
  <c r="L17" i="4" s="1"/>
  <c r="C195" i="1"/>
  <c r="E195" i="1" s="1"/>
  <c r="C227" i="1"/>
  <c r="E227" i="1" s="1"/>
  <c r="E326" i="13"/>
  <c r="O326" i="13"/>
  <c r="C326" i="13"/>
  <c r="D326" i="13" s="1"/>
  <c r="N239" i="13"/>
  <c r="G224" i="1"/>
  <c r="M248" i="13"/>
  <c r="K248" i="13"/>
  <c r="L248" i="13" s="1"/>
  <c r="G320" i="13"/>
  <c r="L319" i="14"/>
  <c r="M263" i="14"/>
  <c r="M319" i="14" s="1"/>
  <c r="C204" i="1"/>
  <c r="E204" i="1" s="1"/>
  <c r="E319" i="13"/>
  <c r="O319" i="13"/>
  <c r="C319" i="13"/>
  <c r="D319" i="13" s="1"/>
  <c r="M228" i="13"/>
  <c r="G300" i="13"/>
  <c r="K228" i="13"/>
  <c r="L228" i="13" s="1"/>
  <c r="G394" i="13"/>
  <c r="I25" i="4"/>
  <c r="L325" i="14"/>
  <c r="M269" i="14"/>
  <c r="M325" i="14" s="1"/>
  <c r="M258" i="13"/>
  <c r="G330" i="13"/>
  <c r="K258" i="13"/>
  <c r="L258" i="13" s="1"/>
  <c r="C197" i="1"/>
  <c r="E197" i="1" s="1"/>
  <c r="M246" i="13"/>
  <c r="K246" i="13"/>
  <c r="L246" i="13" s="1"/>
  <c r="G318" i="13"/>
  <c r="C220" i="1"/>
  <c r="E220" i="1" s="1"/>
  <c r="N241" i="13"/>
  <c r="O312" i="13" l="1"/>
  <c r="M322" i="13"/>
  <c r="O163" i="1"/>
  <c r="O172" i="1"/>
  <c r="L246" i="14"/>
  <c r="L302" i="14" s="1"/>
  <c r="L320" i="14"/>
  <c r="L292" i="14"/>
  <c r="O156" i="1"/>
  <c r="O159" i="1"/>
  <c r="D276" i="14"/>
  <c r="O135" i="1"/>
  <c r="D222" i="14"/>
  <c r="M243" i="14"/>
  <c r="M299" i="14" s="1"/>
  <c r="M260" i="14"/>
  <c r="M264" i="14"/>
  <c r="M236" i="14"/>
  <c r="M292" i="14" s="1"/>
  <c r="M209" i="14"/>
  <c r="L299" i="14"/>
  <c r="O142" i="1"/>
  <c r="M273" i="14"/>
  <c r="M329" i="14" s="1"/>
  <c r="M257" i="14"/>
  <c r="I274" i="14"/>
  <c r="D292" i="14"/>
  <c r="D330" i="14" s="1"/>
  <c r="D274" i="14"/>
  <c r="G302" i="14"/>
  <c r="G330" i="14" s="1"/>
  <c r="G274" i="14"/>
  <c r="G277" i="14" s="1"/>
  <c r="C296" i="14"/>
  <c r="I330" i="14"/>
  <c r="F306" i="13"/>
  <c r="N242" i="13"/>
  <c r="M235" i="14"/>
  <c r="M291" i="14" s="1"/>
  <c r="E314" i="13"/>
  <c r="C314" i="13"/>
  <c r="D314" i="13" s="1"/>
  <c r="O314" i="13"/>
  <c r="N299" i="13"/>
  <c r="M202" i="14"/>
  <c r="L313" i="14"/>
  <c r="O155" i="1"/>
  <c r="M205" i="14"/>
  <c r="L316" i="14"/>
  <c r="I266" i="1"/>
  <c r="F266" i="1"/>
  <c r="P266" i="1"/>
  <c r="E210" i="1"/>
  <c r="G210" i="1" s="1"/>
  <c r="E219" i="1"/>
  <c r="G219" i="1" s="1"/>
  <c r="L215" i="1"/>
  <c r="L191" i="1"/>
  <c r="F252" i="1"/>
  <c r="P252" i="1"/>
  <c r="I252" i="1"/>
  <c r="I282" i="1"/>
  <c r="F282" i="1"/>
  <c r="P282" i="1"/>
  <c r="T282" i="1" s="1"/>
  <c r="M256" i="14"/>
  <c r="M312" i="14" s="1"/>
  <c r="L312" i="14"/>
  <c r="I269" i="1"/>
  <c r="F269" i="1"/>
  <c r="P269" i="1"/>
  <c r="P273" i="1"/>
  <c r="I273" i="1"/>
  <c r="F273" i="1"/>
  <c r="F264" i="1"/>
  <c r="P264" i="1"/>
  <c r="I264" i="1"/>
  <c r="L198" i="1"/>
  <c r="L228" i="1"/>
  <c r="I265" i="1"/>
  <c r="F265" i="1"/>
  <c r="P265" i="1"/>
  <c r="L219" i="1"/>
  <c r="L210" i="1"/>
  <c r="E198" i="1"/>
  <c r="G198" i="1" s="1"/>
  <c r="L311" i="14"/>
  <c r="M255" i="14"/>
  <c r="M311" i="14" s="1"/>
  <c r="E211" i="1"/>
  <c r="G211" i="1" s="1"/>
  <c r="L211" i="1"/>
  <c r="E215" i="1"/>
  <c r="G215" i="1" s="1"/>
  <c r="O154" i="1"/>
  <c r="E212" i="1"/>
  <c r="G212" i="1" s="1"/>
  <c r="E191" i="1"/>
  <c r="L212" i="1"/>
  <c r="E228" i="1"/>
  <c r="G228" i="1" s="1"/>
  <c r="I245" i="1"/>
  <c r="F245" i="1"/>
  <c r="P245" i="1"/>
  <c r="T245" i="1" s="1"/>
  <c r="S38" i="4"/>
  <c r="I33" i="4"/>
  <c r="T33" i="4"/>
  <c r="I31" i="4"/>
  <c r="T31" i="4"/>
  <c r="I18" i="4"/>
  <c r="T18" i="4"/>
  <c r="I21" i="4"/>
  <c r="T21" i="4"/>
  <c r="I32" i="4"/>
  <c r="T32" i="4"/>
  <c r="I23" i="4"/>
  <c r="T23" i="4"/>
  <c r="C371" i="13"/>
  <c r="D371" i="13" s="1"/>
  <c r="E371" i="13"/>
  <c r="G378" i="13"/>
  <c r="M306" i="13"/>
  <c r="K306" i="13"/>
  <c r="L306" i="13" s="1"/>
  <c r="O169" i="1"/>
  <c r="O161" i="1"/>
  <c r="F326" i="13"/>
  <c r="L201" i="1"/>
  <c r="M201" i="1" s="1"/>
  <c r="L214" i="1"/>
  <c r="M214" i="1" s="1"/>
  <c r="L206" i="1"/>
  <c r="M206" i="1" s="1"/>
  <c r="E310" i="13"/>
  <c r="C310" i="13"/>
  <c r="D310" i="13" s="1"/>
  <c r="O310" i="13"/>
  <c r="I267" i="1"/>
  <c r="F267" i="1"/>
  <c r="P267" i="1"/>
  <c r="N252" i="13"/>
  <c r="I257" i="1"/>
  <c r="F257" i="1"/>
  <c r="P257" i="1"/>
  <c r="N331" i="13"/>
  <c r="I253" i="1"/>
  <c r="F253" i="1"/>
  <c r="P253" i="1"/>
  <c r="T253" i="1" s="1"/>
  <c r="I248" i="1"/>
  <c r="F248" i="1"/>
  <c r="P248" i="1"/>
  <c r="T248" i="1" s="1"/>
  <c r="F307" i="13"/>
  <c r="E334" i="13"/>
  <c r="C334" i="13"/>
  <c r="D334" i="13" s="1"/>
  <c r="O334" i="13"/>
  <c r="O224" i="1"/>
  <c r="C272" i="1"/>
  <c r="E272" i="1" s="1"/>
  <c r="L189" i="1"/>
  <c r="M189" i="1" s="1"/>
  <c r="E332" i="13"/>
  <c r="O332" i="13"/>
  <c r="C332" i="13"/>
  <c r="D332" i="13" s="1"/>
  <c r="Q247" i="1"/>
  <c r="N247" i="1"/>
  <c r="H301" i="1"/>
  <c r="G207" i="1"/>
  <c r="L208" i="1"/>
  <c r="M208" i="1" s="1"/>
  <c r="L314" i="14"/>
  <c r="M258" i="14"/>
  <c r="M314" i="14" s="1"/>
  <c r="L305" i="14"/>
  <c r="M249" i="14"/>
  <c r="M305" i="14" s="1"/>
  <c r="F328" i="13"/>
  <c r="O193" i="1"/>
  <c r="L200" i="1"/>
  <c r="M200" i="1" s="1"/>
  <c r="I274" i="1"/>
  <c r="F274" i="1"/>
  <c r="P274" i="1"/>
  <c r="L205" i="1"/>
  <c r="M205" i="1" s="1"/>
  <c r="I258" i="1"/>
  <c r="F258" i="1"/>
  <c r="P258" i="1"/>
  <c r="T258" i="1" s="1"/>
  <c r="E315" i="13"/>
  <c r="O315" i="13"/>
  <c r="C315" i="13"/>
  <c r="D315" i="13" s="1"/>
  <c r="C270" i="1"/>
  <c r="E270" i="1" s="1"/>
  <c r="G220" i="1"/>
  <c r="J25" i="4"/>
  <c r="N248" i="13"/>
  <c r="M326" i="13"/>
  <c r="K326" i="13"/>
  <c r="L326" i="13" s="1"/>
  <c r="G398" i="13"/>
  <c r="I275" i="1"/>
  <c r="F275" i="1"/>
  <c r="P275" i="1"/>
  <c r="I277" i="1"/>
  <c r="F277" i="1"/>
  <c r="P277" i="1"/>
  <c r="I268" i="1"/>
  <c r="F268" i="1"/>
  <c r="P268" i="1"/>
  <c r="O171" i="1"/>
  <c r="Q278" i="1"/>
  <c r="N278" i="1"/>
  <c r="H332" i="1"/>
  <c r="E302" i="13"/>
  <c r="C302" i="13"/>
  <c r="D302" i="13" s="1"/>
  <c r="O302" i="13"/>
  <c r="L303" i="14"/>
  <c r="M247" i="14"/>
  <c r="M303" i="14" s="1"/>
  <c r="G223" i="1"/>
  <c r="G206" i="1"/>
  <c r="L310" i="14"/>
  <c r="M254" i="14"/>
  <c r="M310" i="14" s="1"/>
  <c r="M305" i="13"/>
  <c r="K305" i="13"/>
  <c r="L305" i="13" s="1"/>
  <c r="G377" i="13"/>
  <c r="F311" i="13"/>
  <c r="I249" i="1"/>
  <c r="F249" i="1"/>
  <c r="P249" i="1"/>
  <c r="L327" i="14"/>
  <c r="M271" i="14"/>
  <c r="M327" i="14" s="1"/>
  <c r="L202" i="1"/>
  <c r="M202" i="1" s="1"/>
  <c r="G194" i="1"/>
  <c r="L293" i="14"/>
  <c r="M237" i="14"/>
  <c r="M293" i="14" s="1"/>
  <c r="E327" i="13"/>
  <c r="O327" i="13"/>
  <c r="C327" i="13"/>
  <c r="D327" i="13" s="1"/>
  <c r="O150" i="1"/>
  <c r="M325" i="13"/>
  <c r="K325" i="13"/>
  <c r="L325" i="13" s="1"/>
  <c r="G397" i="13"/>
  <c r="O147" i="1"/>
  <c r="O157" i="1"/>
  <c r="O148" i="1"/>
  <c r="M328" i="13"/>
  <c r="K328" i="13"/>
  <c r="L328" i="13" s="1"/>
  <c r="G400" i="13"/>
  <c r="L192" i="1"/>
  <c r="M192" i="1" s="1"/>
  <c r="E338" i="13"/>
  <c r="O338" i="13"/>
  <c r="C338" i="13"/>
  <c r="D338" i="13" s="1"/>
  <c r="F259" i="1"/>
  <c r="I259" i="1"/>
  <c r="P259" i="1"/>
  <c r="O190" i="1"/>
  <c r="E330" i="13"/>
  <c r="O330" i="13"/>
  <c r="C330" i="13"/>
  <c r="D330" i="13" s="1"/>
  <c r="N228" i="13"/>
  <c r="K267" i="13"/>
  <c r="L308" i="14"/>
  <c r="M252" i="14"/>
  <c r="M308" i="14" s="1"/>
  <c r="L309" i="14"/>
  <c r="M253" i="14"/>
  <c r="M309" i="14" s="1"/>
  <c r="G195" i="1"/>
  <c r="G225" i="1"/>
  <c r="G203" i="1"/>
  <c r="L306" i="14"/>
  <c r="M250" i="14"/>
  <c r="M306" i="14" s="1"/>
  <c r="L213" i="1"/>
  <c r="M213" i="1" s="1"/>
  <c r="C229" i="1"/>
  <c r="O146" i="1"/>
  <c r="L217" i="1"/>
  <c r="M217" i="1" s="1"/>
  <c r="F335" i="13"/>
  <c r="M308" i="13"/>
  <c r="G380" i="13"/>
  <c r="K308" i="13"/>
  <c r="L308" i="13" s="1"/>
  <c r="O153" i="1"/>
  <c r="L199" i="1"/>
  <c r="M199" i="1" s="1"/>
  <c r="L194" i="1"/>
  <c r="M194" i="1" s="1"/>
  <c r="L197" i="1"/>
  <c r="M197" i="1" s="1"/>
  <c r="D267" i="13"/>
  <c r="G200" i="1"/>
  <c r="G214" i="1"/>
  <c r="I280" i="1"/>
  <c r="F280" i="1"/>
  <c r="P280" i="1"/>
  <c r="L322" i="14"/>
  <c r="M266" i="14"/>
  <c r="M322" i="14" s="1"/>
  <c r="O170" i="1"/>
  <c r="I256" i="1"/>
  <c r="F256" i="1"/>
  <c r="P256" i="1"/>
  <c r="F329" i="13"/>
  <c r="O136" i="1"/>
  <c r="I243" i="1"/>
  <c r="F243" i="1"/>
  <c r="P243" i="1"/>
  <c r="T243" i="1" s="1"/>
  <c r="L315" i="14"/>
  <c r="M259" i="14"/>
  <c r="M315" i="14" s="1"/>
  <c r="C247" i="1"/>
  <c r="E247" i="1" s="1"/>
  <c r="F336" i="13"/>
  <c r="I262" i="1"/>
  <c r="F262" i="1"/>
  <c r="P262" i="1"/>
  <c r="I276" i="1"/>
  <c r="F276" i="1"/>
  <c r="P276" i="1"/>
  <c r="F309" i="13"/>
  <c r="G226" i="1"/>
  <c r="O138" i="1"/>
  <c r="F325" i="13"/>
  <c r="L323" i="14"/>
  <c r="M267" i="14"/>
  <c r="M323" i="14" s="1"/>
  <c r="E333" i="13"/>
  <c r="O333" i="13"/>
  <c r="C333" i="13"/>
  <c r="D333" i="13" s="1"/>
  <c r="L296" i="14"/>
  <c r="M240" i="14"/>
  <c r="M296" i="14" s="1"/>
  <c r="L196" i="1"/>
  <c r="M196" i="1" s="1"/>
  <c r="E303" i="13"/>
  <c r="O303" i="13"/>
  <c r="C303" i="13"/>
  <c r="D303" i="13" s="1"/>
  <c r="L300" i="14"/>
  <c r="M244" i="14"/>
  <c r="M300" i="14" s="1"/>
  <c r="O141" i="1"/>
  <c r="G221" i="1"/>
  <c r="I254" i="1"/>
  <c r="F254" i="1"/>
  <c r="P254" i="1"/>
  <c r="O164" i="1"/>
  <c r="L220" i="1"/>
  <c r="M220" i="1" s="1"/>
  <c r="N251" i="13"/>
  <c r="G202" i="1"/>
  <c r="G213" i="1"/>
  <c r="L318" i="14"/>
  <c r="M262" i="14"/>
  <c r="M318" i="14" s="1"/>
  <c r="L204" i="1"/>
  <c r="M204" i="1" s="1"/>
  <c r="L207" i="1"/>
  <c r="M207" i="1" s="1"/>
  <c r="M312" i="13"/>
  <c r="K312" i="13"/>
  <c r="L312" i="13" s="1"/>
  <c r="G384" i="13"/>
  <c r="O167" i="1"/>
  <c r="L301" i="14"/>
  <c r="M245" i="14"/>
  <c r="M301" i="14" s="1"/>
  <c r="Q270" i="1"/>
  <c r="N270" i="1"/>
  <c r="H324" i="1"/>
  <c r="N337" i="13"/>
  <c r="E318" i="13"/>
  <c r="C318" i="13"/>
  <c r="D318" i="13" s="1"/>
  <c r="O318" i="13"/>
  <c r="G197" i="1"/>
  <c r="E394" i="13"/>
  <c r="C394" i="13"/>
  <c r="D394" i="13" s="1"/>
  <c r="M319" i="13"/>
  <c r="G391" i="13"/>
  <c r="K319" i="13"/>
  <c r="L319" i="13" s="1"/>
  <c r="E320" i="13"/>
  <c r="O320" i="13"/>
  <c r="C320" i="13"/>
  <c r="D320" i="13" s="1"/>
  <c r="G227" i="1"/>
  <c r="L221" i="1"/>
  <c r="M221" i="1" s="1"/>
  <c r="L223" i="1"/>
  <c r="M223" i="1" s="1"/>
  <c r="L209" i="1"/>
  <c r="M209" i="1" s="1"/>
  <c r="L328" i="14"/>
  <c r="M272" i="14"/>
  <c r="M328" i="14" s="1"/>
  <c r="N230" i="13"/>
  <c r="E316" i="13"/>
  <c r="C316" i="13"/>
  <c r="D316" i="13" s="1"/>
  <c r="O316" i="13"/>
  <c r="L297" i="14"/>
  <c r="M241" i="14"/>
  <c r="M297" i="14" s="1"/>
  <c r="E393" i="13"/>
  <c r="C393" i="13"/>
  <c r="D393" i="13" s="1"/>
  <c r="F305" i="13"/>
  <c r="I251" i="1"/>
  <c r="F251" i="1"/>
  <c r="P251" i="1"/>
  <c r="G196" i="1"/>
  <c r="M311" i="13"/>
  <c r="K311" i="13"/>
  <c r="L311" i="13" s="1"/>
  <c r="G383" i="13"/>
  <c r="L195" i="1"/>
  <c r="M195" i="1" s="1"/>
  <c r="G222" i="1"/>
  <c r="M313" i="13"/>
  <c r="G385" i="13"/>
  <c r="K313" i="13"/>
  <c r="L313" i="13" s="1"/>
  <c r="E376" i="13"/>
  <c r="C376" i="13"/>
  <c r="D376" i="13" s="1"/>
  <c r="N229" i="13"/>
  <c r="N255" i="13"/>
  <c r="Q244" i="1"/>
  <c r="N244" i="1"/>
  <c r="H298" i="1"/>
  <c r="S298" i="1" s="1"/>
  <c r="L307" i="14"/>
  <c r="M251" i="14"/>
  <c r="M307" i="14" s="1"/>
  <c r="G201" i="1"/>
  <c r="L304" i="14"/>
  <c r="M248" i="14"/>
  <c r="M304" i="14" s="1"/>
  <c r="N317" i="13"/>
  <c r="I250" i="1"/>
  <c r="F250" i="1"/>
  <c r="P250" i="1"/>
  <c r="N266" i="13"/>
  <c r="N246" i="13"/>
  <c r="N258" i="13"/>
  <c r="G204" i="1"/>
  <c r="I263" i="1"/>
  <c r="F263" i="1"/>
  <c r="P263" i="1"/>
  <c r="I260" i="1"/>
  <c r="F260" i="1"/>
  <c r="P260" i="1"/>
  <c r="S229" i="1"/>
  <c r="M335" i="13"/>
  <c r="G407" i="13"/>
  <c r="K335" i="13"/>
  <c r="L335" i="13" s="1"/>
  <c r="E324" i="13"/>
  <c r="C324" i="13"/>
  <c r="D324" i="13" s="1"/>
  <c r="O324" i="13"/>
  <c r="O140" i="1"/>
  <c r="F308" i="13"/>
  <c r="I281" i="1"/>
  <c r="F281" i="1"/>
  <c r="P281" i="1"/>
  <c r="I279" i="1"/>
  <c r="F279" i="1"/>
  <c r="P279" i="1"/>
  <c r="L226" i="1"/>
  <c r="M226" i="1" s="1"/>
  <c r="N262" i="13"/>
  <c r="N304" i="13"/>
  <c r="N260" i="13"/>
  <c r="M336" i="13"/>
  <c r="K336" i="13"/>
  <c r="L336" i="13" s="1"/>
  <c r="G408" i="13"/>
  <c r="G209" i="1"/>
  <c r="L222" i="1"/>
  <c r="M222" i="1" s="1"/>
  <c r="L295" i="14"/>
  <c r="M239" i="14"/>
  <c r="M295" i="14" s="1"/>
  <c r="O218" i="1"/>
  <c r="M242" i="14"/>
  <c r="M298" i="14" s="1"/>
  <c r="L298" i="14"/>
  <c r="L321" i="14"/>
  <c r="M265" i="14"/>
  <c r="M321" i="14" s="1"/>
  <c r="O145" i="1"/>
  <c r="G217" i="1"/>
  <c r="L324" i="14"/>
  <c r="M268" i="14"/>
  <c r="M324" i="14" s="1"/>
  <c r="N322" i="13"/>
  <c r="E300" i="13"/>
  <c r="C300" i="13"/>
  <c r="D300" i="13" s="1"/>
  <c r="O300" i="13"/>
  <c r="F319" i="13"/>
  <c r="O151" i="1"/>
  <c r="O152" i="1"/>
  <c r="I255" i="1"/>
  <c r="F255" i="1"/>
  <c r="P255" i="1"/>
  <c r="C278" i="1"/>
  <c r="E278" i="1" s="1"/>
  <c r="N238" i="13"/>
  <c r="O149" i="1"/>
  <c r="N244" i="13"/>
  <c r="I271" i="1"/>
  <c r="F271" i="1"/>
  <c r="P271" i="1"/>
  <c r="L203" i="1"/>
  <c r="M203" i="1" s="1"/>
  <c r="N321" i="13"/>
  <c r="E403" i="13"/>
  <c r="C403" i="13"/>
  <c r="D403" i="13" s="1"/>
  <c r="F228" i="13"/>
  <c r="L227" i="1"/>
  <c r="M227" i="1" s="1"/>
  <c r="L225" i="1"/>
  <c r="M225" i="1" s="1"/>
  <c r="M307" i="13"/>
  <c r="K307" i="13"/>
  <c r="L307" i="13" s="1"/>
  <c r="G379" i="13"/>
  <c r="O165" i="1"/>
  <c r="F313" i="13"/>
  <c r="G199" i="1"/>
  <c r="G205" i="1"/>
  <c r="Q272" i="1"/>
  <c r="N272" i="1"/>
  <c r="H326" i="1"/>
  <c r="M329" i="13"/>
  <c r="G401" i="13"/>
  <c r="K329" i="13"/>
  <c r="L329" i="13" s="1"/>
  <c r="E301" i="13"/>
  <c r="O301" i="13"/>
  <c r="C301" i="13"/>
  <c r="D301" i="13" s="1"/>
  <c r="O158" i="1"/>
  <c r="C244" i="1"/>
  <c r="E244" i="1" s="1"/>
  <c r="M309" i="13"/>
  <c r="G381" i="13"/>
  <c r="K309" i="13"/>
  <c r="L309" i="13" s="1"/>
  <c r="O166" i="1"/>
  <c r="O216" i="1"/>
  <c r="E389" i="13"/>
  <c r="C389" i="13"/>
  <c r="D389" i="13" s="1"/>
  <c r="N261" i="13"/>
  <c r="O139" i="1"/>
  <c r="N231" i="13"/>
  <c r="O143" i="1"/>
  <c r="I246" i="1"/>
  <c r="F246" i="1"/>
  <c r="P246" i="1"/>
  <c r="G208" i="1"/>
  <c r="L326" i="14"/>
  <c r="M270" i="14"/>
  <c r="M326" i="14" s="1"/>
  <c r="E323" i="13"/>
  <c r="O323" i="13"/>
  <c r="C323" i="13"/>
  <c r="D323" i="13" s="1"/>
  <c r="G192" i="1"/>
  <c r="I261" i="1"/>
  <c r="F261" i="1"/>
  <c r="P261" i="1"/>
  <c r="N243" i="13"/>
  <c r="F312" i="13"/>
  <c r="O144" i="1"/>
  <c r="E409" i="13"/>
  <c r="C409" i="13"/>
  <c r="D409" i="13" s="1"/>
  <c r="M246" i="14" l="1"/>
  <c r="M302" i="14" s="1"/>
  <c r="M320" i="14"/>
  <c r="M313" i="14"/>
  <c r="D277" i="14"/>
  <c r="M316" i="14"/>
  <c r="G191" i="1"/>
  <c r="N306" i="13"/>
  <c r="F314" i="13"/>
  <c r="G386" i="13"/>
  <c r="M314" i="13"/>
  <c r="K314" i="13"/>
  <c r="L314" i="13" s="1"/>
  <c r="M228" i="1"/>
  <c r="O228" i="1" s="1"/>
  <c r="C269" i="1"/>
  <c r="C282" i="1"/>
  <c r="M219" i="1"/>
  <c r="O219" i="1" s="1"/>
  <c r="M198" i="1"/>
  <c r="O198" i="1" s="1"/>
  <c r="M215" i="1"/>
  <c r="O215" i="1" s="1"/>
  <c r="H319" i="1"/>
  <c r="N265" i="1"/>
  <c r="Q265" i="1"/>
  <c r="C252" i="1"/>
  <c r="H320" i="1"/>
  <c r="Q266" i="1"/>
  <c r="N266" i="1"/>
  <c r="M212" i="1"/>
  <c r="O212" i="1" s="1"/>
  <c r="C264" i="1"/>
  <c r="C273" i="1"/>
  <c r="N252" i="1"/>
  <c r="H306" i="1"/>
  <c r="Q252" i="1"/>
  <c r="Q245" i="1"/>
  <c r="N245" i="1"/>
  <c r="H299" i="1"/>
  <c r="S299" i="1" s="1"/>
  <c r="C265" i="1"/>
  <c r="Q264" i="1"/>
  <c r="N264" i="1"/>
  <c r="H318" i="1"/>
  <c r="Q273" i="1"/>
  <c r="N273" i="1"/>
  <c r="H327" i="1"/>
  <c r="C266" i="1"/>
  <c r="M210" i="1"/>
  <c r="O210" i="1" s="1"/>
  <c r="C245" i="1"/>
  <c r="H323" i="1"/>
  <c r="Q269" i="1"/>
  <c r="N269" i="1"/>
  <c r="H336" i="1"/>
  <c r="S336" i="1" s="1"/>
  <c r="Q282" i="1"/>
  <c r="N282" i="1"/>
  <c r="M211" i="1"/>
  <c r="O211" i="1" s="1"/>
  <c r="M191" i="1"/>
  <c r="O191" i="1" s="1"/>
  <c r="F371" i="13"/>
  <c r="J32" i="4"/>
  <c r="U32" i="4"/>
  <c r="J18" i="4"/>
  <c r="U18" i="4"/>
  <c r="J23" i="4"/>
  <c r="U23" i="4"/>
  <c r="J21" i="4"/>
  <c r="U21" i="4"/>
  <c r="T38" i="4"/>
  <c r="J31" i="4"/>
  <c r="U31" i="4"/>
  <c r="J33" i="4"/>
  <c r="U33" i="4"/>
  <c r="E378" i="13"/>
  <c r="C378" i="13"/>
  <c r="D378" i="13" s="1"/>
  <c r="C261" i="1"/>
  <c r="E261" i="1" s="1"/>
  <c r="E401" i="13"/>
  <c r="C401" i="13"/>
  <c r="D401" i="13" s="1"/>
  <c r="Q255" i="1"/>
  <c r="N255" i="1"/>
  <c r="H309" i="1"/>
  <c r="C281" i="1"/>
  <c r="E281" i="1" s="1"/>
  <c r="C260" i="1"/>
  <c r="E260" i="1" s="1"/>
  <c r="F376" i="13"/>
  <c r="N311" i="13"/>
  <c r="F320" i="13"/>
  <c r="I324" i="1"/>
  <c r="F324" i="1"/>
  <c r="M303" i="13"/>
  <c r="G375" i="13"/>
  <c r="K303" i="13"/>
  <c r="L303" i="13" s="1"/>
  <c r="O213" i="1"/>
  <c r="F338" i="13"/>
  <c r="Q249" i="1"/>
  <c r="N249" i="1"/>
  <c r="H303" i="1"/>
  <c r="E377" i="13"/>
  <c r="C377" i="13"/>
  <c r="D377" i="13" s="1"/>
  <c r="N326" i="13"/>
  <c r="M315" i="13"/>
  <c r="G387" i="13"/>
  <c r="K315" i="13"/>
  <c r="L315" i="13" s="1"/>
  <c r="O200" i="1"/>
  <c r="C253" i="1"/>
  <c r="E253" i="1" s="1"/>
  <c r="F389" i="13"/>
  <c r="Q281" i="1"/>
  <c r="N281" i="1"/>
  <c r="H335" i="1"/>
  <c r="L244" i="1"/>
  <c r="M244" i="1" s="1"/>
  <c r="C256" i="1"/>
  <c r="E256" i="1" s="1"/>
  <c r="Q280" i="1"/>
  <c r="N280" i="1"/>
  <c r="H334" i="1"/>
  <c r="O194" i="1"/>
  <c r="F330" i="13"/>
  <c r="E397" i="13"/>
  <c r="C397" i="13"/>
  <c r="D397" i="13" s="1"/>
  <c r="C268" i="1"/>
  <c r="E268" i="1" s="1"/>
  <c r="C275" i="1"/>
  <c r="E275" i="1" s="1"/>
  <c r="C258" i="1"/>
  <c r="E258" i="1" s="1"/>
  <c r="F332" i="13"/>
  <c r="Q248" i="1"/>
  <c r="N248" i="1"/>
  <c r="H302" i="1"/>
  <c r="S302" i="1" s="1"/>
  <c r="C267" i="1"/>
  <c r="E267" i="1" s="1"/>
  <c r="O214" i="1"/>
  <c r="F409" i="13"/>
  <c r="C246" i="1"/>
  <c r="E246" i="1" s="1"/>
  <c r="N309" i="13"/>
  <c r="G244" i="1"/>
  <c r="I326" i="1"/>
  <c r="F326" i="1"/>
  <c r="C255" i="1"/>
  <c r="E255" i="1" s="1"/>
  <c r="M300" i="13"/>
  <c r="G372" i="13"/>
  <c r="K300" i="13"/>
  <c r="L300" i="13" s="1"/>
  <c r="E408" i="13"/>
  <c r="C408" i="13"/>
  <c r="D408" i="13" s="1"/>
  <c r="F267" i="13"/>
  <c r="M324" i="13"/>
  <c r="K324" i="13"/>
  <c r="L324" i="13" s="1"/>
  <c r="G396" i="13"/>
  <c r="E407" i="13"/>
  <c r="C407" i="13"/>
  <c r="D407" i="13" s="1"/>
  <c r="I298" i="1"/>
  <c r="F298" i="1"/>
  <c r="N313" i="13"/>
  <c r="O195" i="1"/>
  <c r="C251" i="1"/>
  <c r="E251" i="1" s="1"/>
  <c r="F393" i="13"/>
  <c r="M316" i="13"/>
  <c r="G388" i="13"/>
  <c r="K316" i="13"/>
  <c r="L316" i="13" s="1"/>
  <c r="O209" i="1"/>
  <c r="O221" i="1"/>
  <c r="F394" i="13"/>
  <c r="M318" i="13"/>
  <c r="K318" i="13"/>
  <c r="L318" i="13" s="1"/>
  <c r="G390" i="13"/>
  <c r="Q254" i="1"/>
  <c r="N254" i="1"/>
  <c r="H308" i="1"/>
  <c r="F333" i="13"/>
  <c r="C276" i="1"/>
  <c r="E276" i="1" s="1"/>
  <c r="C262" i="1"/>
  <c r="E262" i="1" s="1"/>
  <c r="Q256" i="1"/>
  <c r="N256" i="1"/>
  <c r="H310" i="1"/>
  <c r="O217" i="1"/>
  <c r="G14" i="4"/>
  <c r="M330" i="13"/>
  <c r="G402" i="13"/>
  <c r="K330" i="13"/>
  <c r="L330" i="13" s="1"/>
  <c r="O192" i="1"/>
  <c r="N325" i="13"/>
  <c r="F327" i="13"/>
  <c r="O202" i="1"/>
  <c r="I332" i="1"/>
  <c r="F332" i="1"/>
  <c r="C277" i="1"/>
  <c r="E277" i="1" s="1"/>
  <c r="G270" i="1"/>
  <c r="Q258" i="1"/>
  <c r="N258" i="1"/>
  <c r="H312" i="1"/>
  <c r="S312" i="1" s="1"/>
  <c r="C274" i="1"/>
  <c r="E274" i="1" s="1"/>
  <c r="O208" i="1"/>
  <c r="M332" i="13"/>
  <c r="G404" i="13"/>
  <c r="K332" i="13"/>
  <c r="L332" i="13" s="1"/>
  <c r="C257" i="1"/>
  <c r="E257" i="1" s="1"/>
  <c r="M310" i="13"/>
  <c r="G382" i="13"/>
  <c r="K310" i="13"/>
  <c r="L310" i="13" s="1"/>
  <c r="M323" i="13"/>
  <c r="K323" i="13"/>
  <c r="L323" i="13" s="1"/>
  <c r="G395" i="13"/>
  <c r="Q246" i="1"/>
  <c r="N246" i="1"/>
  <c r="H300" i="1"/>
  <c r="F301" i="13"/>
  <c r="L272" i="1"/>
  <c r="M272" i="1" s="1"/>
  <c r="N307" i="13"/>
  <c r="O203" i="1"/>
  <c r="O226" i="1"/>
  <c r="Q250" i="1"/>
  <c r="N250" i="1"/>
  <c r="H304" i="1"/>
  <c r="Q251" i="1"/>
  <c r="N251" i="1"/>
  <c r="H305" i="1"/>
  <c r="O223" i="1"/>
  <c r="E391" i="13"/>
  <c r="C391" i="13"/>
  <c r="D391" i="13" s="1"/>
  <c r="N312" i="13"/>
  <c r="C254" i="1"/>
  <c r="E254" i="1" s="1"/>
  <c r="G247" i="1"/>
  <c r="N308" i="13"/>
  <c r="E229" i="1"/>
  <c r="G15" i="4" s="1"/>
  <c r="Q259" i="1"/>
  <c r="N259" i="1"/>
  <c r="H313" i="1"/>
  <c r="N328" i="13"/>
  <c r="F302" i="13"/>
  <c r="K25" i="4"/>
  <c r="L25" i="4" s="1"/>
  <c r="T229" i="1"/>
  <c r="M334" i="13"/>
  <c r="G406" i="13"/>
  <c r="K334" i="13"/>
  <c r="L334" i="13" s="1"/>
  <c r="C248" i="1"/>
  <c r="E248" i="1" s="1"/>
  <c r="N261" i="1"/>
  <c r="Q261" i="1"/>
  <c r="H315" i="1"/>
  <c r="M301" i="13"/>
  <c r="G373" i="13"/>
  <c r="K301" i="13"/>
  <c r="L301" i="13" s="1"/>
  <c r="O227" i="1"/>
  <c r="Q271" i="1"/>
  <c r="N271" i="1"/>
  <c r="H325" i="1"/>
  <c r="Q279" i="1"/>
  <c r="N279" i="1"/>
  <c r="H333" i="1"/>
  <c r="N335" i="13"/>
  <c r="Q260" i="1"/>
  <c r="N260" i="1"/>
  <c r="H314" i="1"/>
  <c r="Q263" i="1"/>
  <c r="N263" i="1"/>
  <c r="H317" i="1"/>
  <c r="M320" i="13"/>
  <c r="K320" i="13"/>
  <c r="L320" i="13" s="1"/>
  <c r="G392" i="13"/>
  <c r="O204" i="1"/>
  <c r="C243" i="1"/>
  <c r="E243" i="1" s="1"/>
  <c r="E380" i="13"/>
  <c r="C380" i="13"/>
  <c r="D380" i="13" s="1"/>
  <c r="G189" i="1"/>
  <c r="C259" i="1"/>
  <c r="E259" i="1" s="1"/>
  <c r="M338" i="13"/>
  <c r="K338" i="13"/>
  <c r="L338" i="13" s="1"/>
  <c r="G410" i="13"/>
  <c r="N305" i="13"/>
  <c r="L278" i="1"/>
  <c r="M278" i="1" s="1"/>
  <c r="F301" i="1"/>
  <c r="I301" i="1"/>
  <c r="L229" i="1"/>
  <c r="F334" i="13"/>
  <c r="Q253" i="1"/>
  <c r="N253" i="1"/>
  <c r="H307" i="1"/>
  <c r="S307" i="1" s="1"/>
  <c r="F323" i="13"/>
  <c r="E381" i="13"/>
  <c r="C381" i="13"/>
  <c r="D381" i="13" s="1"/>
  <c r="N329" i="13"/>
  <c r="E379" i="13"/>
  <c r="C379" i="13"/>
  <c r="D379" i="13" s="1"/>
  <c r="O225" i="1"/>
  <c r="F403" i="13"/>
  <c r="C271" i="1"/>
  <c r="E271" i="1" s="1"/>
  <c r="G278" i="1"/>
  <c r="F300" i="13"/>
  <c r="C339" i="13"/>
  <c r="O222" i="1"/>
  <c r="N336" i="13"/>
  <c r="C279" i="1"/>
  <c r="E279" i="1" s="1"/>
  <c r="F324" i="13"/>
  <c r="C263" i="1"/>
  <c r="E263" i="1" s="1"/>
  <c r="C250" i="1"/>
  <c r="E250" i="1" s="1"/>
  <c r="E385" i="13"/>
  <c r="C385" i="13"/>
  <c r="D385" i="13" s="1"/>
  <c r="E383" i="13"/>
  <c r="C383" i="13"/>
  <c r="D383" i="13" s="1"/>
  <c r="F316" i="13"/>
  <c r="N319" i="13"/>
  <c r="F318" i="13"/>
  <c r="L270" i="1"/>
  <c r="M270" i="1" s="1"/>
  <c r="E384" i="13"/>
  <c r="C384" i="13"/>
  <c r="D384" i="13" s="1"/>
  <c r="O207" i="1"/>
  <c r="O220" i="1"/>
  <c r="F303" i="13"/>
  <c r="O196" i="1"/>
  <c r="M333" i="13"/>
  <c r="K333" i="13"/>
  <c r="L333" i="13" s="1"/>
  <c r="G405" i="13"/>
  <c r="Q276" i="1"/>
  <c r="N276" i="1"/>
  <c r="H330" i="1"/>
  <c r="Q262" i="1"/>
  <c r="N262" i="1"/>
  <c r="H316" i="1"/>
  <c r="Q243" i="1"/>
  <c r="N243" i="1"/>
  <c r="H297" i="1"/>
  <c r="S297" i="1" s="1"/>
  <c r="C280" i="1"/>
  <c r="E280" i="1" s="1"/>
  <c r="O197" i="1"/>
  <c r="O199" i="1"/>
  <c r="L267" i="13"/>
  <c r="E400" i="13"/>
  <c r="C400" i="13"/>
  <c r="D400" i="13" s="1"/>
  <c r="M327" i="13"/>
  <c r="G399" i="13"/>
  <c r="K327" i="13"/>
  <c r="L327" i="13" s="1"/>
  <c r="C249" i="1"/>
  <c r="E249" i="1" s="1"/>
  <c r="M302" i="13"/>
  <c r="G374" i="13"/>
  <c r="K302" i="13"/>
  <c r="L302" i="13" s="1"/>
  <c r="Q268" i="1"/>
  <c r="N268" i="1"/>
  <c r="H322" i="1"/>
  <c r="Q277" i="1"/>
  <c r="N277" i="1"/>
  <c r="H331" i="1"/>
  <c r="Q275" i="1"/>
  <c r="N275" i="1"/>
  <c r="H329" i="1"/>
  <c r="E398" i="13"/>
  <c r="C398" i="13"/>
  <c r="D398" i="13" s="1"/>
  <c r="F315" i="13"/>
  <c r="O205" i="1"/>
  <c r="Q274" i="1"/>
  <c r="N274" i="1"/>
  <c r="H328" i="1"/>
  <c r="L247" i="1"/>
  <c r="M247" i="1" s="1"/>
  <c r="G272" i="1"/>
  <c r="Q257" i="1"/>
  <c r="N257" i="1"/>
  <c r="H311" i="1"/>
  <c r="Q267" i="1"/>
  <c r="N267" i="1"/>
  <c r="H321" i="1"/>
  <c r="F310" i="13"/>
  <c r="O206" i="1"/>
  <c r="O201" i="1"/>
  <c r="F378" i="13" l="1"/>
  <c r="N314" i="13"/>
  <c r="C386" i="13"/>
  <c r="D386" i="13" s="1"/>
  <c r="E386" i="13"/>
  <c r="I336" i="1"/>
  <c r="F336" i="1"/>
  <c r="I318" i="1"/>
  <c r="F318" i="1"/>
  <c r="L245" i="1"/>
  <c r="E252" i="1"/>
  <c r="G252" i="1" s="1"/>
  <c r="E269" i="1"/>
  <c r="G269" i="1" s="1"/>
  <c r="L264" i="1"/>
  <c r="L269" i="1"/>
  <c r="E266" i="1"/>
  <c r="G266" i="1" s="1"/>
  <c r="E273" i="1"/>
  <c r="G273" i="1" s="1"/>
  <c r="L265" i="1"/>
  <c r="I323" i="1"/>
  <c r="F323" i="1"/>
  <c r="I327" i="1"/>
  <c r="F327" i="1"/>
  <c r="E264" i="1"/>
  <c r="G264" i="1" s="1"/>
  <c r="E265" i="1"/>
  <c r="G265" i="1" s="1"/>
  <c r="F319" i="1"/>
  <c r="I319" i="1"/>
  <c r="L273" i="1"/>
  <c r="I299" i="1"/>
  <c r="F299" i="1"/>
  <c r="L252" i="1"/>
  <c r="L266" i="1"/>
  <c r="E282" i="1"/>
  <c r="G282" i="1" s="1"/>
  <c r="L282" i="1"/>
  <c r="E245" i="1"/>
  <c r="G245" i="1" s="1"/>
  <c r="I306" i="1"/>
  <c r="F306" i="1"/>
  <c r="I320" i="1"/>
  <c r="F320" i="1"/>
  <c r="K33" i="4"/>
  <c r="V33" i="4"/>
  <c r="K31" i="4"/>
  <c r="W31" i="4" s="1"/>
  <c r="V31" i="4"/>
  <c r="U38" i="4"/>
  <c r="K21" i="4"/>
  <c r="W21" i="4" s="1"/>
  <c r="V21" i="4"/>
  <c r="K23" i="4"/>
  <c r="W23" i="4" s="1"/>
  <c r="V23" i="4"/>
  <c r="K18" i="4"/>
  <c r="W18" i="4" s="1"/>
  <c r="V18" i="4"/>
  <c r="K32" i="4"/>
  <c r="W32" i="4" s="1"/>
  <c r="V32" i="4"/>
  <c r="N327" i="13"/>
  <c r="I297" i="1"/>
  <c r="F297" i="1"/>
  <c r="I330" i="1"/>
  <c r="F330" i="1"/>
  <c r="G250" i="1"/>
  <c r="M229" i="1"/>
  <c r="F380" i="13"/>
  <c r="L260" i="1"/>
  <c r="M260" i="1" s="1"/>
  <c r="G248" i="1"/>
  <c r="O272" i="1"/>
  <c r="E404" i="13"/>
  <c r="C404" i="13"/>
  <c r="D404" i="13" s="1"/>
  <c r="I310" i="1"/>
  <c r="F310" i="1"/>
  <c r="G26" i="4"/>
  <c r="G267" i="1"/>
  <c r="N315" i="13"/>
  <c r="E375" i="13"/>
  <c r="C375" i="13"/>
  <c r="D375" i="13" s="1"/>
  <c r="I329" i="1"/>
  <c r="F329" i="1"/>
  <c r="N302" i="13"/>
  <c r="N333" i="13"/>
  <c r="F383" i="13"/>
  <c r="L253" i="1"/>
  <c r="M253" i="1" s="1"/>
  <c r="H14" i="4"/>
  <c r="N334" i="13"/>
  <c r="L259" i="1"/>
  <c r="M259" i="1" s="1"/>
  <c r="G274" i="1"/>
  <c r="N267" i="13"/>
  <c r="H26" i="4" s="1"/>
  <c r="H35" i="4" s="1"/>
  <c r="E396" i="13"/>
  <c r="C396" i="13"/>
  <c r="D396" i="13" s="1"/>
  <c r="G255" i="1"/>
  <c r="G258" i="1"/>
  <c r="E387" i="13"/>
  <c r="C387" i="13"/>
  <c r="D387" i="13" s="1"/>
  <c r="F377" i="13"/>
  <c r="L267" i="1"/>
  <c r="M267" i="1" s="1"/>
  <c r="L257" i="1"/>
  <c r="M257" i="1" s="1"/>
  <c r="O247" i="1"/>
  <c r="L274" i="1"/>
  <c r="M274" i="1" s="1"/>
  <c r="E374" i="13"/>
  <c r="C374" i="13"/>
  <c r="D374" i="13" s="1"/>
  <c r="L276" i="1"/>
  <c r="M276" i="1" s="1"/>
  <c r="O270" i="1"/>
  <c r="G263" i="1"/>
  <c r="G279" i="1"/>
  <c r="F379" i="13"/>
  <c r="F381" i="13"/>
  <c r="I307" i="1"/>
  <c r="F307" i="1"/>
  <c r="O189" i="1"/>
  <c r="E410" i="13"/>
  <c r="C410" i="13"/>
  <c r="D410" i="13" s="1"/>
  <c r="G259" i="1"/>
  <c r="S283" i="1"/>
  <c r="E392" i="13"/>
  <c r="C392" i="13"/>
  <c r="D392" i="13" s="1"/>
  <c r="I317" i="1"/>
  <c r="F317" i="1"/>
  <c r="I314" i="1"/>
  <c r="F314" i="1"/>
  <c r="L279" i="1"/>
  <c r="M279" i="1" s="1"/>
  <c r="N301" i="13"/>
  <c r="E406" i="13"/>
  <c r="C406" i="13"/>
  <c r="D406" i="13" s="1"/>
  <c r="I313" i="1"/>
  <c r="F313" i="1"/>
  <c r="L251" i="1"/>
  <c r="M251" i="1" s="1"/>
  <c r="L246" i="1"/>
  <c r="M246" i="1" s="1"/>
  <c r="N310" i="13"/>
  <c r="G257" i="1"/>
  <c r="N330" i="13"/>
  <c r="G16" i="4"/>
  <c r="L256" i="1"/>
  <c r="M256" i="1" s="1"/>
  <c r="I308" i="1"/>
  <c r="F308" i="1"/>
  <c r="E390" i="13"/>
  <c r="C390" i="13"/>
  <c r="D390" i="13" s="1"/>
  <c r="E388" i="13"/>
  <c r="C388" i="13"/>
  <c r="D388" i="13" s="1"/>
  <c r="C298" i="1"/>
  <c r="E298" i="1" s="1"/>
  <c r="E332" i="14" s="1"/>
  <c r="E334" i="14" s="1"/>
  <c r="N324" i="13"/>
  <c r="C326" i="1"/>
  <c r="E326" i="1" s="1"/>
  <c r="G246" i="1"/>
  <c r="L248" i="1"/>
  <c r="M248" i="1" s="1"/>
  <c r="F397" i="13"/>
  <c r="I334" i="1"/>
  <c r="F334" i="1"/>
  <c r="L249" i="1"/>
  <c r="M249" i="1" s="1"/>
  <c r="G281" i="1"/>
  <c r="L255" i="1"/>
  <c r="M255" i="1" s="1"/>
  <c r="I316" i="1"/>
  <c r="F316" i="1"/>
  <c r="E405" i="13"/>
  <c r="C405" i="13"/>
  <c r="D405" i="13" s="1"/>
  <c r="L263" i="1"/>
  <c r="M263" i="1" s="1"/>
  <c r="I333" i="1"/>
  <c r="F333" i="1"/>
  <c r="I325" i="1"/>
  <c r="F325" i="1"/>
  <c r="L261" i="1"/>
  <c r="M261" i="1" s="1"/>
  <c r="G254" i="1"/>
  <c r="L250" i="1"/>
  <c r="M250" i="1" s="1"/>
  <c r="N323" i="13"/>
  <c r="I312" i="1"/>
  <c r="F312" i="1"/>
  <c r="G277" i="1"/>
  <c r="E372" i="13"/>
  <c r="C372" i="13"/>
  <c r="D372" i="13" s="1"/>
  <c r="L280" i="1"/>
  <c r="M280" i="1" s="1"/>
  <c r="I335" i="1"/>
  <c r="F335" i="1"/>
  <c r="C324" i="1"/>
  <c r="E324" i="1" s="1"/>
  <c r="G260" i="1"/>
  <c r="G261" i="1"/>
  <c r="I331" i="1"/>
  <c r="F331" i="1"/>
  <c r="I322" i="1"/>
  <c r="F322" i="1"/>
  <c r="E399" i="13"/>
  <c r="C399" i="13"/>
  <c r="D399" i="13" s="1"/>
  <c r="G271" i="1"/>
  <c r="I304" i="1"/>
  <c r="F304" i="1"/>
  <c r="G262" i="1"/>
  <c r="L254" i="1"/>
  <c r="M254" i="1" s="1"/>
  <c r="N316" i="13"/>
  <c r="F408" i="13"/>
  <c r="G268" i="1"/>
  <c r="O244" i="1"/>
  <c r="F401" i="13"/>
  <c r="I321" i="1"/>
  <c r="F321" i="1"/>
  <c r="I311" i="1"/>
  <c r="F311" i="1"/>
  <c r="I328" i="1"/>
  <c r="F328" i="1"/>
  <c r="F398" i="13"/>
  <c r="L275" i="1"/>
  <c r="M275" i="1" s="1"/>
  <c r="L277" i="1"/>
  <c r="M277" i="1" s="1"/>
  <c r="L268" i="1"/>
  <c r="M268" i="1" s="1"/>
  <c r="G249" i="1"/>
  <c r="F400" i="13"/>
  <c r="G280" i="1"/>
  <c r="L243" i="1"/>
  <c r="M243" i="1" s="1"/>
  <c r="L262" i="1"/>
  <c r="M262" i="1" s="1"/>
  <c r="F384" i="13"/>
  <c r="F385" i="13"/>
  <c r="D339" i="13"/>
  <c r="F339" i="13" s="1"/>
  <c r="C301" i="1"/>
  <c r="E301" i="1" s="1"/>
  <c r="O278" i="1"/>
  <c r="N338" i="13"/>
  <c r="C283" i="1"/>
  <c r="N320" i="13"/>
  <c r="L271" i="1"/>
  <c r="M271" i="1" s="1"/>
  <c r="E373" i="13"/>
  <c r="C373" i="13"/>
  <c r="D373" i="13" s="1"/>
  <c r="I315" i="1"/>
  <c r="F315" i="1"/>
  <c r="F391" i="13"/>
  <c r="I305" i="1"/>
  <c r="F305" i="1"/>
  <c r="I300" i="1"/>
  <c r="F300" i="1"/>
  <c r="E395" i="13"/>
  <c r="C395" i="13"/>
  <c r="D395" i="13" s="1"/>
  <c r="E382" i="13"/>
  <c r="C382" i="13"/>
  <c r="D382" i="13" s="1"/>
  <c r="N332" i="13"/>
  <c r="L258" i="1"/>
  <c r="M258" i="1" s="1"/>
  <c r="C332" i="1"/>
  <c r="E332" i="1" s="1"/>
  <c r="E402" i="13"/>
  <c r="C402" i="13"/>
  <c r="D402" i="13" s="1"/>
  <c r="G229" i="1"/>
  <c r="G276" i="1"/>
  <c r="N318" i="13"/>
  <c r="G251" i="1"/>
  <c r="F407" i="13"/>
  <c r="K339" i="13"/>
  <c r="I302" i="1"/>
  <c r="F302" i="1"/>
  <c r="G275" i="1"/>
  <c r="G256" i="1"/>
  <c r="L281" i="1"/>
  <c r="M281" i="1" s="1"/>
  <c r="G253" i="1"/>
  <c r="I303" i="1"/>
  <c r="F303" i="1"/>
  <c r="N303" i="13"/>
  <c r="I309" i="1"/>
  <c r="F309" i="1"/>
  <c r="F386" i="13" l="1"/>
  <c r="C299" i="1"/>
  <c r="C336" i="1"/>
  <c r="M269" i="1"/>
  <c r="O269" i="1" s="1"/>
  <c r="C306" i="1"/>
  <c r="C327" i="1"/>
  <c r="M273" i="1"/>
  <c r="M265" i="1"/>
  <c r="O265" i="1" s="1"/>
  <c r="M245" i="1"/>
  <c r="O245" i="1" s="1"/>
  <c r="M266" i="1"/>
  <c r="O266" i="1" s="1"/>
  <c r="C323" i="1"/>
  <c r="C318" i="1"/>
  <c r="M252" i="1"/>
  <c r="O252" i="1" s="1"/>
  <c r="M264" i="1"/>
  <c r="O264" i="1" s="1"/>
  <c r="C320" i="1"/>
  <c r="M282" i="1"/>
  <c r="O282" i="1" s="1"/>
  <c r="C319" i="1"/>
  <c r="L31" i="4"/>
  <c r="L32" i="4"/>
  <c r="L18" i="4"/>
  <c r="L23" i="4"/>
  <c r="L21" i="4"/>
  <c r="V38" i="4"/>
  <c r="W33" i="4"/>
  <c r="W38" i="4" s="1"/>
  <c r="L33" i="4"/>
  <c r="I26" i="4"/>
  <c r="I35" i="4" s="1"/>
  <c r="O281" i="1"/>
  <c r="C302" i="1"/>
  <c r="E302" i="1" s="1"/>
  <c r="C304" i="1"/>
  <c r="E304" i="1" s="1"/>
  <c r="C331" i="1"/>
  <c r="E331" i="1" s="1"/>
  <c r="F405" i="13"/>
  <c r="C308" i="1"/>
  <c r="E308" i="1" s="1"/>
  <c r="C313" i="1"/>
  <c r="E313" i="1" s="1"/>
  <c r="C307" i="1"/>
  <c r="E307" i="1" s="1"/>
  <c r="O276" i="1"/>
  <c r="O257" i="1"/>
  <c r="F396" i="13"/>
  <c r="F382" i="13"/>
  <c r="O262" i="1"/>
  <c r="C321" i="1"/>
  <c r="E321" i="1" s="1"/>
  <c r="O254" i="1"/>
  <c r="C322" i="1"/>
  <c r="E322" i="1" s="1"/>
  <c r="O250" i="1"/>
  <c r="C334" i="1"/>
  <c r="E334" i="1" s="1"/>
  <c r="G326" i="1"/>
  <c r="O251" i="1"/>
  <c r="C317" i="1"/>
  <c r="E317" i="1" s="1"/>
  <c r="O253" i="1"/>
  <c r="F375" i="13"/>
  <c r="G35" i="4"/>
  <c r="G38" i="4" s="1"/>
  <c r="G41" i="4" s="1"/>
  <c r="G45" i="4" s="1"/>
  <c r="C297" i="1"/>
  <c r="E297" i="1" s="1"/>
  <c r="L339" i="13"/>
  <c r="G332" i="1"/>
  <c r="C305" i="1"/>
  <c r="E305" i="1" s="1"/>
  <c r="E283" i="1"/>
  <c r="I15" i="4" s="1"/>
  <c r="G301" i="1"/>
  <c r="T283" i="1"/>
  <c r="F399" i="13"/>
  <c r="C335" i="1"/>
  <c r="E335" i="1" s="1"/>
  <c r="O255" i="1"/>
  <c r="O249" i="1"/>
  <c r="F388" i="13"/>
  <c r="O256" i="1"/>
  <c r="F406" i="13"/>
  <c r="C314" i="1"/>
  <c r="E314" i="1" s="1"/>
  <c r="F392" i="13"/>
  <c r="O267" i="1"/>
  <c r="O259" i="1"/>
  <c r="C310" i="1"/>
  <c r="E310" i="1" s="1"/>
  <c r="O260" i="1"/>
  <c r="C330" i="1"/>
  <c r="E330" i="1" s="1"/>
  <c r="C303" i="1"/>
  <c r="E303" i="1" s="1"/>
  <c r="O258" i="1"/>
  <c r="F373" i="13"/>
  <c r="I14" i="4"/>
  <c r="O280" i="1"/>
  <c r="C325" i="1"/>
  <c r="E325" i="1" s="1"/>
  <c r="C316" i="1"/>
  <c r="E316" i="1" s="1"/>
  <c r="F390" i="13"/>
  <c r="O274" i="1"/>
  <c r="C329" i="1"/>
  <c r="E329" i="1" s="1"/>
  <c r="O277" i="1"/>
  <c r="C312" i="1"/>
  <c r="E312" i="1" s="1"/>
  <c r="O261" i="1"/>
  <c r="O263" i="1"/>
  <c r="O248" i="1"/>
  <c r="G298" i="1"/>
  <c r="F374" i="13"/>
  <c r="F387" i="13"/>
  <c r="H15" i="4"/>
  <c r="H16" i="4" s="1"/>
  <c r="C309" i="1"/>
  <c r="E309" i="1" s="1"/>
  <c r="G332" i="14" s="1"/>
  <c r="G334" i="14" s="1"/>
  <c r="N300" i="13"/>
  <c r="F402" i="13"/>
  <c r="F395" i="13"/>
  <c r="C300" i="1"/>
  <c r="E300" i="1" s="1"/>
  <c r="C315" i="1"/>
  <c r="E315" i="1" s="1"/>
  <c r="O271" i="1"/>
  <c r="G243" i="1"/>
  <c r="L283" i="1"/>
  <c r="O243" i="1"/>
  <c r="O268" i="1"/>
  <c r="O275" i="1"/>
  <c r="C328" i="1"/>
  <c r="E328" i="1" s="1"/>
  <c r="C311" i="1"/>
  <c r="E311" i="1" s="1"/>
  <c r="G324" i="1"/>
  <c r="F372" i="13"/>
  <c r="C411" i="13"/>
  <c r="C333" i="1"/>
  <c r="E333" i="1" s="1"/>
  <c r="O246" i="1"/>
  <c r="O279" i="1"/>
  <c r="F410" i="13"/>
  <c r="O229" i="1"/>
  <c r="F404" i="13"/>
  <c r="O273" i="1" l="1"/>
  <c r="E319" i="1"/>
  <c r="G319" i="1" s="1"/>
  <c r="E306" i="1"/>
  <c r="G306" i="1" s="1"/>
  <c r="E318" i="1"/>
  <c r="E320" i="1"/>
  <c r="G320" i="1" s="1"/>
  <c r="E323" i="1"/>
  <c r="G323" i="1" s="1"/>
  <c r="E336" i="1"/>
  <c r="G336" i="1" s="1"/>
  <c r="E327" i="1"/>
  <c r="G327" i="1" s="1"/>
  <c r="E299" i="1"/>
  <c r="I16" i="4"/>
  <c r="I36" i="4" s="1"/>
  <c r="G283" i="1"/>
  <c r="H36" i="4"/>
  <c r="H38" i="4"/>
  <c r="H41" i="4" s="1"/>
  <c r="H45" i="4" s="1"/>
  <c r="G311" i="1"/>
  <c r="J14" i="4"/>
  <c r="G330" i="1"/>
  <c r="G333" i="1"/>
  <c r="G325" i="1"/>
  <c r="G305" i="1"/>
  <c r="G322" i="1"/>
  <c r="G307" i="1"/>
  <c r="G302" i="1"/>
  <c r="G328" i="1"/>
  <c r="G315" i="1"/>
  <c r="S337" i="1"/>
  <c r="G300" i="1"/>
  <c r="G312" i="1"/>
  <c r="G310" i="1"/>
  <c r="G335" i="1"/>
  <c r="G329" i="1"/>
  <c r="G334" i="1"/>
  <c r="G321" i="1"/>
  <c r="G308" i="1"/>
  <c r="G331" i="1"/>
  <c r="G36" i="4"/>
  <c r="D411" i="13"/>
  <c r="D413" i="13" s="1"/>
  <c r="M283" i="1"/>
  <c r="O283" i="1" s="1"/>
  <c r="G309" i="1"/>
  <c r="N339" i="13"/>
  <c r="G316" i="1"/>
  <c r="G303" i="1"/>
  <c r="G314" i="1"/>
  <c r="C337" i="1"/>
  <c r="G297" i="1"/>
  <c r="G317" i="1"/>
  <c r="G313" i="1"/>
  <c r="G304" i="1"/>
  <c r="C413" i="13"/>
  <c r="G318" i="1" l="1"/>
  <c r="G299" i="1"/>
  <c r="D332" i="14"/>
  <c r="D334" i="14" s="1"/>
  <c r="G44" i="4"/>
  <c r="G48" i="4" s="1"/>
  <c r="I38" i="4"/>
  <c r="I41" i="4" s="1"/>
  <c r="I45" i="4" s="1"/>
  <c r="J26" i="4"/>
  <c r="E337" i="1"/>
  <c r="K15" i="4" s="1"/>
  <c r="J15" i="4"/>
  <c r="J16" i="4" s="1"/>
  <c r="F411" i="13"/>
  <c r="K26" i="4" s="1"/>
  <c r="K35" i="4" s="1"/>
  <c r="K14" i="4"/>
  <c r="I44" i="4" l="1"/>
  <c r="I48" i="4" s="1"/>
  <c r="G49" i="4"/>
  <c r="G50" i="4" s="1"/>
  <c r="H44" i="4"/>
  <c r="H48" i="4" s="1"/>
  <c r="G337" i="1"/>
  <c r="K16" i="4"/>
  <c r="K36" i="4" s="1"/>
  <c r="J35" i="4"/>
  <c r="J38" i="4" s="1"/>
  <c r="J41" i="4" s="1"/>
  <c r="J45" i="4" s="1"/>
  <c r="L26" i="4"/>
  <c r="L35" i="4" s="1"/>
  <c r="F413" i="13"/>
  <c r="I49" i="4" l="1"/>
  <c r="I50" i="4" s="1"/>
  <c r="H49" i="4"/>
  <c r="H50" i="4" s="1"/>
  <c r="K38" i="4"/>
  <c r="K41" i="4" s="1"/>
  <c r="K45" i="4" s="1"/>
  <c r="J36" i="4"/>
  <c r="J44" i="4" l="1"/>
  <c r="J48" i="4" s="1"/>
  <c r="K44" i="4"/>
  <c r="K48" i="4" s="1"/>
  <c r="J49" i="4" l="1"/>
  <c r="J50" i="4" s="1"/>
  <c r="K49" i="4" l="1"/>
  <c r="K50" i="4" l="1"/>
  <c r="T64" i="1" l="1"/>
  <c r="K133" i="1"/>
  <c r="T173" i="1" s="1"/>
  <c r="B79" i="1"/>
  <c r="S119" i="1" s="1"/>
  <c r="K79" i="1"/>
  <c r="T119" i="1" s="1"/>
  <c r="K24" i="1"/>
  <c r="C13" i="14" s="1"/>
  <c r="C53" i="14" s="1"/>
  <c r="L79" i="1"/>
  <c r="C124" i="14" s="1"/>
  <c r="C164" i="14" s="1"/>
  <c r="B133" i="1"/>
  <c r="S173" i="1" s="1"/>
  <c r="B124" i="14" l="1"/>
  <c r="L119" i="1"/>
  <c r="M79" i="1"/>
  <c r="L6" i="4"/>
  <c r="C133" i="1"/>
  <c r="C79" i="1"/>
  <c r="C69" i="14" s="1"/>
  <c r="C109" i="14" s="1"/>
  <c r="B13" i="14"/>
  <c r="M24" i="1"/>
  <c r="L133" i="1"/>
  <c r="K64" i="1"/>
  <c r="B14" i="4" s="1"/>
  <c r="E133" i="1" l="1"/>
  <c r="C221" i="14" s="1"/>
  <c r="C179" i="14"/>
  <c r="C219" i="14" s="1"/>
  <c r="M133" i="1"/>
  <c r="C276" i="14" s="1"/>
  <c r="C234" i="14"/>
  <c r="C55" i="14"/>
  <c r="C56" i="14" s="1"/>
  <c r="I166" i="14"/>
  <c r="I167" i="14" s="1"/>
  <c r="C166" i="14"/>
  <c r="C167" i="14" s="1"/>
  <c r="I221" i="14"/>
  <c r="I222" i="14" s="1"/>
  <c r="N24" i="1"/>
  <c r="O64" i="1" s="1"/>
  <c r="I55" i="14"/>
  <c r="I56" i="14" s="1"/>
  <c r="B276" i="14"/>
  <c r="I276" i="14"/>
  <c r="I277" i="14" s="1"/>
  <c r="E79" i="1"/>
  <c r="B69" i="14"/>
  <c r="C119" i="1"/>
  <c r="B179" i="14"/>
  <c r="C173" i="1"/>
  <c r="B166" i="14"/>
  <c r="L124" i="14"/>
  <c r="M124" i="14" s="1"/>
  <c r="M164" i="14" s="1"/>
  <c r="M119" i="1"/>
  <c r="D15" i="4" s="1"/>
  <c r="B234" i="14"/>
  <c r="L173" i="1"/>
  <c r="O79" i="1"/>
  <c r="B55" i="14"/>
  <c r="M64" i="1"/>
  <c r="L13" i="14"/>
  <c r="M13" i="14" s="1"/>
  <c r="M53" i="14" s="1"/>
  <c r="D14" i="4"/>
  <c r="B53" i="14"/>
  <c r="B164" i="14"/>
  <c r="B221" i="14" l="1"/>
  <c r="L221" i="14" s="1"/>
  <c r="C332" i="14"/>
  <c r="O133" i="1"/>
  <c r="M173" i="1"/>
  <c r="F15" i="4" s="1"/>
  <c r="L234" i="14"/>
  <c r="M234" i="14" s="1"/>
  <c r="L179" i="14"/>
  <c r="M179" i="14" s="1"/>
  <c r="M219" i="14" s="1"/>
  <c r="G133" i="1"/>
  <c r="E173" i="1"/>
  <c r="E15" i="4" s="1"/>
  <c r="C222" i="14"/>
  <c r="C290" i="14"/>
  <c r="C330" i="14" s="1"/>
  <c r="C274" i="14"/>
  <c r="C277" i="14" s="1"/>
  <c r="L166" i="14"/>
  <c r="L55" i="14"/>
  <c r="I332" i="14"/>
  <c r="I334" i="14" s="1"/>
  <c r="C111" i="14"/>
  <c r="C112" i="14" s="1"/>
  <c r="L276" i="14"/>
  <c r="G79" i="1"/>
  <c r="I111" i="14"/>
  <c r="I112" i="14" s="1"/>
  <c r="B332" i="14"/>
  <c r="D16" i="4"/>
  <c r="D38" i="4" s="1"/>
  <c r="D41" i="4" s="1"/>
  <c r="D45" i="4" s="1"/>
  <c r="O119" i="1"/>
  <c r="E14" i="4"/>
  <c r="F14" i="4"/>
  <c r="B219" i="14"/>
  <c r="B274" i="14"/>
  <c r="B290" i="14"/>
  <c r="B330" i="14" s="1"/>
  <c r="C339" i="1"/>
  <c r="C14" i="4"/>
  <c r="B109" i="14"/>
  <c r="L165" i="14"/>
  <c r="B167" i="14"/>
  <c r="L167" i="14" s="1"/>
  <c r="B15" i="4"/>
  <c r="L69" i="14"/>
  <c r="E119" i="1"/>
  <c r="C15" i="4" s="1"/>
  <c r="B111" i="14"/>
  <c r="B56" i="14"/>
  <c r="L56" i="14" s="1"/>
  <c r="L54" i="14"/>
  <c r="G173" i="1" l="1"/>
  <c r="C334" i="14"/>
  <c r="L290" i="14"/>
  <c r="F16" i="4"/>
  <c r="F38" i="4" s="1"/>
  <c r="F41" i="4" s="1"/>
  <c r="F45" i="4" s="1"/>
  <c r="O173" i="1"/>
  <c r="E16" i="4"/>
  <c r="E36" i="4" s="1"/>
  <c r="M333" i="14"/>
  <c r="L111" i="14"/>
  <c r="D36" i="4"/>
  <c r="D59" i="4" s="1"/>
  <c r="D61" i="4" s="1"/>
  <c r="M69" i="14"/>
  <c r="M109" i="14" s="1"/>
  <c r="L110" i="14"/>
  <c r="B112" i="14"/>
  <c r="L112" i="14" s="1"/>
  <c r="E339" i="1"/>
  <c r="G119" i="1"/>
  <c r="B222" i="14"/>
  <c r="L222" i="14" s="1"/>
  <c r="L220" i="14"/>
  <c r="C16" i="4"/>
  <c r="L14" i="4"/>
  <c r="L15" i="4"/>
  <c r="B16" i="4"/>
  <c r="M274" i="14"/>
  <c r="B334" i="14"/>
  <c r="M331" i="14"/>
  <c r="L275" i="14"/>
  <c r="B277" i="14"/>
  <c r="L277" i="14" s="1"/>
  <c r="D57" i="4"/>
  <c r="D44" i="4"/>
  <c r="D63" i="4"/>
  <c r="D64" i="4" l="1"/>
  <c r="D48" i="4"/>
  <c r="M334" i="14"/>
  <c r="F36" i="4"/>
  <c r="F59" i="4" s="1"/>
  <c r="F61" i="4" s="1"/>
  <c r="G339" i="1"/>
  <c r="E38" i="4"/>
  <c r="E41" i="4" s="1"/>
  <c r="E45" i="4" s="1"/>
  <c r="E44" i="4" s="1"/>
  <c r="E48" i="4" s="1"/>
  <c r="D58" i="4"/>
  <c r="M290" i="14"/>
  <c r="D54" i="4"/>
  <c r="D49" i="4"/>
  <c r="B38" i="4"/>
  <c r="B41" i="4" s="1"/>
  <c r="B45" i="4" s="1"/>
  <c r="B36" i="4"/>
  <c r="L16" i="4"/>
  <c r="C38" i="4"/>
  <c r="C41" i="4" s="1"/>
  <c r="C45" i="4" s="1"/>
  <c r="C36" i="4"/>
  <c r="F57" i="4"/>
  <c r="F63" i="4"/>
  <c r="F44" i="4"/>
  <c r="F64" i="4" l="1"/>
  <c r="F48" i="4"/>
  <c r="F49" i="4" s="1"/>
  <c r="L45" i="4"/>
  <c r="E59" i="4"/>
  <c r="E61" i="4" s="1"/>
  <c r="E64" i="4"/>
  <c r="E57" i="4"/>
  <c r="E63" i="4"/>
  <c r="E58" i="4"/>
  <c r="F58" i="4"/>
  <c r="C59" i="4"/>
  <c r="C61" i="4" s="1"/>
  <c r="B59" i="4"/>
  <c r="B61" i="4" s="1"/>
  <c r="C63" i="4"/>
  <c r="C57" i="4"/>
  <c r="C44" i="4"/>
  <c r="L36" i="4"/>
  <c r="L38" i="4"/>
  <c r="O74" i="4" s="1"/>
  <c r="O73" i="4" s="1"/>
  <c r="E54" i="4"/>
  <c r="E49" i="4"/>
  <c r="F54" i="4"/>
  <c r="B63" i="4"/>
  <c r="B44" i="4"/>
  <c r="B57" i="4"/>
  <c r="L41" i="4"/>
  <c r="D65" i="4"/>
  <c r="D66" i="4" s="1"/>
  <c r="D50" i="4"/>
  <c r="B58" i="4" l="1"/>
  <c r="B48" i="4"/>
  <c r="C64" i="4"/>
  <c r="C48" i="4"/>
  <c r="C49" i="4" s="1"/>
  <c r="C58" i="4"/>
  <c r="B49" i="4"/>
  <c r="L44" i="4"/>
  <c r="G63" i="4"/>
  <c r="G59" i="4"/>
  <c r="F65" i="4"/>
  <c r="F66" i="4" s="1"/>
  <c r="F50" i="4"/>
  <c r="C54" i="4"/>
  <c r="B54" i="4"/>
  <c r="G61" i="4"/>
  <c r="E65" i="4"/>
  <c r="E66" i="4" s="1"/>
  <c r="E50" i="4"/>
  <c r="G57" i="4"/>
  <c r="G58" i="4" l="1"/>
  <c r="L48" i="4"/>
  <c r="B64" i="4"/>
  <c r="G64" i="4" s="1"/>
  <c r="G54" i="4"/>
  <c r="L49" i="4"/>
  <c r="L50" i="4" s="1"/>
  <c r="B65" i="4"/>
  <c r="B50" i="4"/>
  <c r="C65" i="4"/>
  <c r="C66" i="4" s="1"/>
  <c r="C50" i="4"/>
  <c r="G65" i="4" l="1"/>
  <c r="B66" i="4"/>
  <c r="G6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Roy W. Mollenkamp</author>
  </authors>
  <commentList>
    <comment ref="A22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Fee paid to be in a study
</t>
        </r>
      </text>
    </comment>
  </commentList>
</comments>
</file>

<file path=xl/sharedStrings.xml><?xml version="1.0" encoding="utf-8"?>
<sst xmlns="http://schemas.openxmlformats.org/spreadsheetml/2006/main" count="1237" uniqueCount="459">
  <si>
    <t>UNM HEALTH SCIENCES CENTER</t>
  </si>
  <si>
    <t>The following are used in the calculation below for &lt;365; ED&gt;CFYE</t>
  </si>
  <si>
    <t>SALARY CALCULATION WORKSHEET</t>
  </si>
  <si>
    <t>CFYE_ED = ENDDATE-CURRENTYFYE</t>
  </si>
  <si>
    <t>CFYE_EDPCNT = Increase factor for partial year ending within</t>
  </si>
  <si>
    <t>a year that is more than 1 year beyond the CFYE.</t>
  </si>
  <si>
    <t>Principal Investigator:</t>
  </si>
  <si>
    <t>PERIOD 1 = ED-STARTDATE+1 to add back last day.</t>
  </si>
  <si>
    <t>Department:</t>
  </si>
  <si>
    <t xml:space="preserve">Note:  I'm using 365 days here because the leap year effect </t>
  </si>
  <si>
    <t>Funding Agency:</t>
  </si>
  <si>
    <t>appears to be immaterial for this particular calculation.</t>
  </si>
  <si>
    <t>Current FYE:</t>
  </si>
  <si>
    <t>INITIAL BUDGET PERIOD</t>
  </si>
  <si>
    <t xml:space="preserve"> </t>
  </si>
  <si>
    <t>&lt; 365 days</t>
  </si>
  <si>
    <t>&gt;= 365 days</t>
  </si>
  <si>
    <t>ED&lt;=CYFE</t>
  </si>
  <si>
    <t>ED&gt;CYFE</t>
  </si>
  <si>
    <t>ED = ENDDATE;  CYFE = CURRENT FYE</t>
  </si>
  <si>
    <t>Yr 1%</t>
  </si>
  <si>
    <t>Current FY</t>
  </si>
  <si>
    <t>Salaries</t>
  </si>
  <si>
    <t>Fringe</t>
  </si>
  <si>
    <t>Total</t>
  </si>
  <si>
    <t>Sal = Adjusted Salary;  Max = Maximum allowable salary</t>
  </si>
  <si>
    <t>Days in Yr 1</t>
  </si>
  <si>
    <t>Annualized</t>
  </si>
  <si>
    <t>%</t>
  </si>
  <si>
    <t>Salary</t>
  </si>
  <si>
    <t>Benefits</t>
  </si>
  <si>
    <t>Divided by</t>
  </si>
  <si>
    <t>Name</t>
  </si>
  <si>
    <t>Effort</t>
  </si>
  <si>
    <t>Requested</t>
  </si>
  <si>
    <t>Rate</t>
  </si>
  <si>
    <t>Amount</t>
  </si>
  <si>
    <t>&amp; Benefits</t>
  </si>
  <si>
    <t>Type</t>
  </si>
  <si>
    <t>Sal&lt;Max</t>
  </si>
  <si>
    <t>Sal&gt;=Max</t>
  </si>
  <si>
    <t xml:space="preserve">  YEAR 1 TOTALS</t>
  </si>
  <si>
    <t>% of Yr 2 &amp; 3</t>
  </si>
  <si>
    <t>Year 2</t>
  </si>
  <si>
    <t>Year 3</t>
  </si>
  <si>
    <t>Year or</t>
  </si>
  <si>
    <t>Totals</t>
  </si>
  <si>
    <t>a Year</t>
  </si>
  <si>
    <t>= Year 2</t>
  </si>
  <si>
    <t>= Year 3</t>
  </si>
  <si>
    <t xml:space="preserve">   Totals</t>
  </si>
  <si>
    <t>% of Yr 4 &amp; 5</t>
  </si>
  <si>
    <t>Year 4</t>
  </si>
  <si>
    <t>Year 5</t>
  </si>
  <si>
    <t>= Year 4</t>
  </si>
  <si>
    <t>= Year 5</t>
  </si>
  <si>
    <t>A</t>
  </si>
  <si>
    <t>F</t>
  </si>
  <si>
    <t>S</t>
  </si>
  <si>
    <t>T</t>
  </si>
  <si>
    <t>W</t>
  </si>
  <si>
    <t>{SET "PRINT-RANGE";detail1}</t>
  </si>
  <si>
    <t>{PRINT ;1;9999;1;1}</t>
  </si>
  <si>
    <t>{SET "PRINT-RANGE";detail2}</t>
  </si>
  <si>
    <t>{SET "PRINT-RANGE";types}</t>
  </si>
  <si>
    <t>SUMMARY OF PERSONNEL TYPES AND RELATED BENEFITS</t>
  </si>
  <si>
    <t>Year 1 - Salaries &amp; Benefits</t>
  </si>
  <si>
    <t>Faculty</t>
  </si>
  <si>
    <t>Admin/Prof</t>
  </si>
  <si>
    <t>Temporary</t>
  </si>
  <si>
    <t>Student</t>
  </si>
  <si>
    <t>Workstudy</t>
  </si>
  <si>
    <t xml:space="preserve">  Totals</t>
  </si>
  <si>
    <t xml:space="preserve">  Benefits</t>
  </si>
  <si>
    <t xml:space="preserve">  Salary &amp; Benefits</t>
  </si>
  <si>
    <t>Entire Period - Salaries &amp; Benefits</t>
  </si>
  <si>
    <t>{SET "PRINT-RANGE";type}</t>
  </si>
  <si>
    <t>Modifying Notes and Calculations</t>
  </si>
  <si>
    <t>Expense Categories</t>
  </si>
  <si>
    <t>Year 1</t>
  </si>
  <si>
    <t>Modifiers</t>
  </si>
  <si>
    <t>Fringe Benefits</t>
  </si>
  <si>
    <t>Supplies</t>
  </si>
  <si>
    <t>Patient Care Costs</t>
  </si>
  <si>
    <t>Travel</t>
  </si>
  <si>
    <t>Student Tuition</t>
  </si>
  <si>
    <t>Student Costs</t>
  </si>
  <si>
    <t>Contractual</t>
  </si>
  <si>
    <t>Consultants</t>
  </si>
  <si>
    <t>TWOSUM</t>
  </si>
  <si>
    <t>THREESUM</t>
  </si>
  <si>
    <t>FOURSUM</t>
  </si>
  <si>
    <t>FIVESUM</t>
  </si>
  <si>
    <t>Building Space/Rental</t>
  </si>
  <si>
    <t>Sum of 2 yrs</t>
  </si>
  <si>
    <t>Sum of 3 yrs</t>
  </si>
  <si>
    <t>Sum of 4 yrs</t>
  </si>
  <si>
    <t>Sum of 5 yrs</t>
  </si>
  <si>
    <t>The range names for the calculations below follow this logic:</t>
  </si>
  <si>
    <t>A_TWOSUM = Sum of first two years for subcontract A.</t>
  </si>
  <si>
    <t>B</t>
  </si>
  <si>
    <t>C</t>
  </si>
  <si>
    <t>D</t>
  </si>
  <si>
    <t>E</t>
  </si>
  <si>
    <t>G</t>
  </si>
  <si>
    <t>INSTRUCTIONS</t>
  </si>
  <si>
    <t>1.</t>
  </si>
  <si>
    <t>In the shaded area next to a letter in column A enter the name of the organization with whom you're proposing to</t>
  </si>
  <si>
    <t>2.</t>
  </si>
  <si>
    <t>Level</t>
  </si>
  <si>
    <t>of</t>
  </si>
  <si>
    <t>P</t>
  </si>
  <si>
    <t xml:space="preserve">   Days Overlapping FY End in Year 1:</t>
  </si>
  <si>
    <t xml:space="preserve">   Est. salary increase for subsequent years:</t>
  </si>
  <si>
    <t xml:space="preserve">   Factor for estimated salary increase:</t>
  </si>
  <si>
    <t>Once again, you can enter data into the shaded areas only.  All unshaded areas are protected fields.</t>
  </si>
  <si>
    <t>Postdoctoral</t>
  </si>
  <si>
    <t>Posdoctoral</t>
  </si>
  <si>
    <t>Portion of</t>
  </si>
  <si>
    <t>First Year or Initial Period Starts:</t>
  </si>
  <si>
    <t>First Year or Initial Period Ends:</t>
  </si>
  <si>
    <t xml:space="preserve">   Number of Years in Project Period:</t>
  </si>
  <si>
    <t>Project Title:</t>
  </si>
  <si>
    <t>Benefit Codes</t>
  </si>
  <si>
    <t>Enter employee's fringe benefit letter code in the column below.</t>
  </si>
  <si>
    <t>F = Faculty</t>
  </si>
  <si>
    <t>P = Postdoctoral</t>
  </si>
  <si>
    <t>T = Temporary</t>
  </si>
  <si>
    <t>S = Student</t>
  </si>
  <si>
    <t>W = Workstudy</t>
  </si>
  <si>
    <t>A = Admin.</t>
  </si>
  <si>
    <t>UNM</t>
  </si>
  <si>
    <t>FTE</t>
  </si>
  <si>
    <t>R</t>
  </si>
  <si>
    <t xml:space="preserve">R = Retired </t>
  </si>
  <si>
    <t>Retired</t>
  </si>
  <si>
    <t>Base</t>
  </si>
  <si>
    <t>SALARY CALCULATION WORKSHEET (Page 2)</t>
  </si>
  <si>
    <t>PI's Name:</t>
  </si>
  <si>
    <t>F&amp;A Modifier:</t>
  </si>
  <si>
    <t xml:space="preserve">   Number of months in first year or initial period:</t>
  </si>
  <si>
    <t>SALARY CALCULATION WORKSHEET (Page 4)</t>
  </si>
  <si>
    <t>SALARY CALCULATION WORKSHEET (Page 3)</t>
  </si>
  <si>
    <t>SALARY CALCULATION WORKSHEET (Page 5)</t>
  </si>
  <si>
    <t>Year 6</t>
  </si>
  <si>
    <t>Year 7</t>
  </si>
  <si>
    <t>% of Yr 6 &amp; 7</t>
  </si>
  <si>
    <t>= Year 6</t>
  </si>
  <si>
    <t>= Year 7</t>
  </si>
  <si>
    <t>Year 8</t>
  </si>
  <si>
    <t>Year 9</t>
  </si>
  <si>
    <t>% of Yr 8 &amp; 9</t>
  </si>
  <si>
    <t>= Year 8</t>
  </si>
  <si>
    <t>= Year 9</t>
  </si>
  <si>
    <t>SALARY CALCULATION WORKSHEET (Page 6)</t>
  </si>
  <si>
    <t>Year 10</t>
  </si>
  <si>
    <t>% of Yr 10</t>
  </si>
  <si>
    <t>= Year 10</t>
  </si>
  <si>
    <t>FRINGES</t>
  </si>
  <si>
    <t>RATE</t>
  </si>
  <si>
    <t>Sum of 6 yrs</t>
  </si>
  <si>
    <t>Sum of 7 yrs</t>
  </si>
  <si>
    <t>Sum of 8 yrs</t>
  </si>
  <si>
    <t>Sum of 9 yrs</t>
  </si>
  <si>
    <t>Sum of 10 yrs</t>
  </si>
  <si>
    <t>SIXSUM</t>
  </si>
  <si>
    <t>SEVENSUM</t>
  </si>
  <si>
    <t>EIGHTSUM</t>
  </si>
  <si>
    <t>NINESUM</t>
  </si>
  <si>
    <t>TENSUM</t>
  </si>
  <si>
    <t xml:space="preserve"> = Inflation factor used to increase all categories in subsequent years, unless the cells are over-ridden with other data</t>
  </si>
  <si>
    <t>Estimated rate of increase in fringe benefits</t>
  </si>
  <si>
    <t>YEAR</t>
  </si>
  <si>
    <t>BASE</t>
  </si>
  <si>
    <t>SALARY</t>
  </si>
  <si>
    <t>FRINGE</t>
  </si>
  <si>
    <t>TOTALS</t>
  </si>
  <si>
    <t>ENTIRE PERIOD</t>
  </si>
  <si>
    <t>Weight for first year in FringeRate table</t>
  </si>
  <si>
    <t>Weight for second year in FringeRate table</t>
  </si>
  <si>
    <t>Weight for third year in FringeRate table</t>
  </si>
  <si>
    <t xml:space="preserve">   Number of budget periods:</t>
  </si>
  <si>
    <t>Number of budget periods:</t>
  </si>
  <si>
    <t>Project Type</t>
  </si>
  <si>
    <t>Initial Year</t>
  </si>
  <si>
    <t>Future  Years</t>
  </si>
  <si>
    <t>Wt0</t>
  </si>
  <si>
    <t>Wt1</t>
  </si>
  <si>
    <t>Wt2</t>
  </si>
  <si>
    <t>Wt3</t>
  </si>
  <si>
    <t>IN PREVIOUS YEAR(S)</t>
  </si>
  <si>
    <t>Total Adjustments to F&amp;A calculation:</t>
  </si>
  <si>
    <t>Adjustments to F&amp;A calculation:</t>
  </si>
  <si>
    <t>Sum of 1 year</t>
  </si>
  <si>
    <t>SUBAWARDS WORKSHEET</t>
  </si>
  <si>
    <t>(first of EACH subaward)</t>
  </si>
  <si>
    <t>Proposed Subawardee</t>
  </si>
  <si>
    <t>Subaward Budgets by Year</t>
  </si>
  <si>
    <t>AMOUNT AWARDED TO SUBAWARDEE</t>
  </si>
  <si>
    <t>the amount previously paid to the subaward in the table at right.</t>
  </si>
  <si>
    <t>In the columns to the right of the subawardee's name, enter the budget amounts (by year) given you by the</t>
  </si>
  <si>
    <t>The sum totals of both the subcontractors' budgets and adjustments to F&amp;A cost calculation will carry forward to the</t>
  </si>
  <si>
    <t>Budget Summary.  For multi-project budgets, please consult the Pre-Awards Office.</t>
  </si>
  <si>
    <t xml:space="preserve">subaward.  Repeat this for each subawardee.  If this budget is for a non-competing continuation, please enter </t>
  </si>
  <si>
    <t>F&amp;A Modifier</t>
  </si>
  <si>
    <t>Institutional Base Salary</t>
  </si>
  <si>
    <t>UNIVERSITY HOSPITAL EMPLOYEES</t>
  </si>
  <si>
    <r>
      <t xml:space="preserve">   Duration of Project  </t>
    </r>
    <r>
      <rPr>
        <b/>
        <sz val="9"/>
        <rFont val="Arial"/>
        <family val="2"/>
      </rPr>
      <t>(in months):</t>
    </r>
  </si>
  <si>
    <t xml:space="preserve">   Maximum salary allowable by DHHS:</t>
  </si>
  <si>
    <t>Adjusted</t>
  </si>
  <si>
    <t>UH Contractual</t>
  </si>
  <si>
    <t>UH</t>
  </si>
  <si>
    <t xml:space="preserve">Place "X" Here  </t>
  </si>
  <si>
    <t>INTERNAL BUDGET WORKSHEET</t>
  </si>
  <si>
    <t>Maximum</t>
  </si>
  <si>
    <t xml:space="preserve"> Place "X" Here  </t>
  </si>
  <si>
    <t>Subawards Direct Costs</t>
  </si>
  <si>
    <t>Subaward F&amp;A Costs</t>
  </si>
  <si>
    <t>Total Subaward Direct Costs:</t>
  </si>
  <si>
    <t>Total Subaward F&amp;A Costs:</t>
  </si>
  <si>
    <t xml:space="preserve">  Subtotal Direct Costs</t>
  </si>
  <si>
    <t>Total Direct Costs</t>
  </si>
  <si>
    <t xml:space="preserve">  Total Project Costs</t>
  </si>
  <si>
    <t>Benefit</t>
  </si>
  <si>
    <t>Base Salary</t>
  </si>
  <si>
    <t>Last Name</t>
  </si>
  <si>
    <t>Employee's</t>
  </si>
  <si>
    <t>First Name</t>
  </si>
  <si>
    <t>Person</t>
  </si>
  <si>
    <t>Mos.</t>
  </si>
  <si>
    <t>Mos</t>
  </si>
  <si>
    <t>Last</t>
  </si>
  <si>
    <t xml:space="preserve"> THIS SHEET FOR INFORMATION PURPOSES ONLY  -- NOT FOR ENTRY OF DATA</t>
  </si>
  <si>
    <t>UH Base</t>
  </si>
  <si>
    <t xml:space="preserve">Person </t>
  </si>
  <si>
    <t>Appt.</t>
  </si>
  <si>
    <t xml:space="preserve">Level </t>
  </si>
  <si>
    <t xml:space="preserve"> If Project is Federally Funded</t>
  </si>
  <si>
    <t xml:space="preserve">(including Federal flow-through on incoming awards)   </t>
  </si>
  <si>
    <t>Total Personnel</t>
  </si>
  <si>
    <t>Equipment &gt; $5,000/unit</t>
  </si>
  <si>
    <t>Inflation Factor</t>
  </si>
  <si>
    <t>Other Expenses:</t>
  </si>
  <si>
    <t>Postage/Shipping</t>
  </si>
  <si>
    <t>Animal Maint. Costs</t>
  </si>
  <si>
    <t>Printing/Duplication</t>
  </si>
  <si>
    <t>All Other</t>
  </si>
  <si>
    <t>Subtotal Other Expenses</t>
  </si>
  <si>
    <t>CFY</t>
  </si>
  <si>
    <t>Fall Only</t>
  </si>
  <si>
    <t xml:space="preserve">Summer Only </t>
  </si>
  <si>
    <t>Full Year</t>
  </si>
  <si>
    <t>Spring &amp; Summer</t>
  </si>
  <si>
    <t>GRAs</t>
  </si>
  <si>
    <t>*plus health insurance if applicable</t>
  </si>
  <si>
    <t>Total Salaries</t>
  </si>
  <si>
    <t>Salaries by Category</t>
  </si>
  <si>
    <t>Fringe Benefits by Category</t>
  </si>
  <si>
    <t xml:space="preserve">  Avg. Benefits % Year 1</t>
  </si>
  <si>
    <t>Total Benefits</t>
  </si>
  <si>
    <t>GRAND TOTAL</t>
  </si>
  <si>
    <t>1.0%*</t>
  </si>
  <si>
    <t>Salaries and Benefits</t>
  </si>
  <si>
    <t>Total for Year 1</t>
  </si>
  <si>
    <t>Building Renovations</t>
  </si>
  <si>
    <t>PERSONNEL</t>
  </si>
  <si>
    <t>UNM Employee</t>
  </si>
  <si>
    <t>L</t>
  </si>
  <si>
    <t>O</t>
  </si>
  <si>
    <t>L = Technician</t>
  </si>
  <si>
    <t>O= Other Professional</t>
  </si>
  <si>
    <t>G = RA, TA, GA, PA</t>
  </si>
  <si>
    <t>A = Sec/Clerical Staff</t>
  </si>
  <si>
    <t>Sec/Clerical</t>
  </si>
  <si>
    <t>Other Prof.</t>
  </si>
  <si>
    <t>Technical</t>
  </si>
  <si>
    <t>Labor Costs</t>
  </si>
  <si>
    <t>Year 2 - Salaries &amp; Benefits</t>
  </si>
  <si>
    <t>HEALTH SCIENCES CENTER</t>
  </si>
  <si>
    <t>Total for Year 2</t>
  </si>
  <si>
    <t xml:space="preserve">  Avg. Benefits % Year 2</t>
  </si>
  <si>
    <t>Year 3 - Salaries &amp; Benefits</t>
  </si>
  <si>
    <t>Total for Year 3</t>
  </si>
  <si>
    <t xml:space="preserve">  Avg. Benefits % Year 3</t>
  </si>
  <si>
    <t>Year 4 - Salaries &amp; Benefits</t>
  </si>
  <si>
    <t xml:space="preserve">  Avg. Benefits % Year 4</t>
  </si>
  <si>
    <t>Total for Year 4</t>
  </si>
  <si>
    <t>Year 5 - Salaries &amp; Benefits</t>
  </si>
  <si>
    <t xml:space="preserve">  Avg. Benefits % Year 5</t>
  </si>
  <si>
    <t>Total for Year 5</t>
  </si>
  <si>
    <t>Enter fringe benefit letter code</t>
  </si>
  <si>
    <t xml:space="preserve"> in the column below.</t>
  </si>
  <si>
    <t>Fringe Benefit Codes</t>
  </si>
  <si>
    <t>Retiree</t>
  </si>
  <si>
    <t xml:space="preserve">Graduate </t>
  </si>
  <si>
    <t>Insurance</t>
  </si>
  <si>
    <t>Enter "R" for Retirees</t>
  </si>
  <si>
    <t>Enter amount of insurance from table</t>
  </si>
  <si>
    <t>PROJECT PERIOD</t>
  </si>
  <si>
    <t>TOTALS _____________</t>
  </si>
  <si>
    <t>Charge to Unrestricted Account</t>
  </si>
  <si>
    <t>Salary Cap</t>
  </si>
  <si>
    <t>Salary Allocation Worksheet</t>
  </si>
  <si>
    <t>UNM FTE</t>
  </si>
  <si>
    <t>Appt. Mos.</t>
  </si>
  <si>
    <t>Actual Current Salary</t>
  </si>
  <si>
    <t>Annualized Salary</t>
  </si>
  <si>
    <t>%  of      Actual Salary</t>
  </si>
  <si>
    <t>% FTE Year 1</t>
  </si>
  <si>
    <t>the default information is no longer available and will need to be re-entered manually.  If this is an NIH award, or a subcontract</t>
  </si>
  <si>
    <t>This spreadsheet was designed to help convert percent effort to percent of salary.  It is not for budget projection purposes.</t>
  </si>
  <si>
    <t>awarded by an NIH agency, an "X" appears here:</t>
  </si>
  <si>
    <t xml:space="preserve">  Most current NIH salary cap should appear here:</t>
  </si>
  <si>
    <t>Salary Amount</t>
  </si>
  <si>
    <t>To be accurate, this worksheet must be updated with current payroll information.  The "green" shaded cells contain data</t>
  </si>
  <si>
    <t>entered in Year 1 from the Salary Detail spreadsheet.  Once the formulas for these cells are overwritten with new information,</t>
  </si>
  <si>
    <t>above NIH</t>
  </si>
  <si>
    <t>Job Class</t>
  </si>
  <si>
    <t>CURRENT YEAR OR YEAR 1 TOTAL . . . . . . . . . . . . . . . . . . . . . . .</t>
  </si>
  <si>
    <t>Date:</t>
  </si>
  <si>
    <t>Total Labor Costs above    NIH Salary Cap</t>
  </si>
  <si>
    <t>Non-Research Activity</t>
  </si>
  <si>
    <t>Type of Activity</t>
  </si>
  <si>
    <t>Research Activity</t>
  </si>
  <si>
    <t>T=Temporary</t>
  </si>
  <si>
    <t>W=Workstudy</t>
  </si>
  <si>
    <t>DOD Contract</t>
  </si>
  <si>
    <t>Duration of Project (in months):</t>
  </si>
  <si>
    <t>OFF Campus</t>
  </si>
  <si>
    <t xml:space="preserve">Activity will take place </t>
  </si>
  <si>
    <t xml:space="preserve">Principal Investigator: </t>
  </si>
  <si>
    <t xml:space="preserve">Department: </t>
  </si>
  <si>
    <t xml:space="preserve">Project Title: </t>
  </si>
  <si>
    <t xml:space="preserve">Funding Agency: </t>
  </si>
  <si>
    <t xml:space="preserve">Current FYE: </t>
  </si>
  <si>
    <t xml:space="preserve">First Year of Initial Period Start Date: </t>
  </si>
  <si>
    <t xml:space="preserve">First Year of Initial Period End Date: </t>
  </si>
  <si>
    <t>ATTENTION!</t>
  </si>
  <si>
    <t>ON Campus</t>
  </si>
  <si>
    <t xml:space="preserve">  Total Modified Direct Cost</t>
  </si>
  <si>
    <t>Total UNM F &amp; A Costs</t>
  </si>
  <si>
    <t>Research MDC (51%)</t>
  </si>
  <si>
    <t>UNM F&amp;A Costs (51%)</t>
  </si>
  <si>
    <t xml:space="preserve">Research </t>
  </si>
  <si>
    <t>F&amp;A Cost Rates</t>
  </si>
  <si>
    <t>Specify LOCATION and TYPE of Activity</t>
  </si>
  <si>
    <t>WARNING!</t>
  </si>
  <si>
    <t xml:space="preserve">F&amp;A Rate </t>
  </si>
  <si>
    <t>Non-Competing       Cont. or Other Rate</t>
  </si>
  <si>
    <t>Check</t>
  </si>
  <si>
    <t>Only</t>
  </si>
  <si>
    <t>One</t>
  </si>
  <si>
    <t xml:space="preserve">           READ THESE INSTRUCTIONS BEFORE ENTERING DATA INTO THIS SPREADSHEET!!!</t>
  </si>
  <si>
    <t xml:space="preserve">        It is strongly recommended that you print these instructions for future reference.</t>
  </si>
  <si>
    <t>ANY INFORMATION YOU ENTER INTO A GREEN SHADED AREA WILL PERMANENTLY OVERWRITE EXISTING FORMULAS.</t>
  </si>
  <si>
    <t>Qualifier</t>
  </si>
  <si>
    <t>Direct Costs</t>
  </si>
  <si>
    <t>Indirect Costs</t>
  </si>
  <si>
    <t>Equip. &lt; $5,001</t>
  </si>
  <si>
    <t xml:space="preserve"> If DHHS (Salary Cap Applies)  . . . . . . . . .</t>
  </si>
  <si>
    <t>PLEASE NOTE:</t>
  </si>
  <si>
    <t>If you do not enable macros, this spreadsheet will not function properly!</t>
  </si>
  <si>
    <r>
      <t xml:space="preserve">2007  Excel Users </t>
    </r>
    <r>
      <rPr>
        <i/>
        <sz val="12"/>
        <color indexed="8"/>
        <rFont val="Arial"/>
        <family val="2"/>
      </rPr>
      <t>- The Security Warning in the ribbon above the active window says that "Macros have been disabled."  Click the "Options..." button.  A MicroSoft Security Alert window will open. Select "Enable this content" and your spreadsheet will function with macros enabled.</t>
    </r>
  </si>
  <si>
    <t>2010  Excel Users – Click Enable Macros</t>
  </si>
  <si>
    <t>H</t>
  </si>
  <si>
    <t>I</t>
  </si>
  <si>
    <t>J</t>
  </si>
  <si>
    <t>K</t>
  </si>
  <si>
    <t>M</t>
  </si>
  <si>
    <t>N</t>
  </si>
  <si>
    <t>Subtotal UNM Direct Expenses</t>
  </si>
  <si>
    <t>Subtotal</t>
  </si>
  <si>
    <t>F &amp; A COSTS</t>
  </si>
  <si>
    <t>The Following should be used to calculate F&amp;A costs unless the sponsor has specified a different F&amp;A cost rate in writing.</t>
  </si>
  <si>
    <t>Research</t>
  </si>
  <si>
    <t>Instruction</t>
  </si>
  <si>
    <t>Other Sponsored Programs</t>
  </si>
  <si>
    <t>DoD Contracts</t>
  </si>
  <si>
    <t>UNM F&amp;A Costs (51.5%)</t>
  </si>
  <si>
    <t>On Campus</t>
  </si>
  <si>
    <t>Off Campus</t>
  </si>
  <si>
    <t>7/1/13       7/1/16</t>
  </si>
  <si>
    <t>7/1/13        7/1/16</t>
  </si>
  <si>
    <t>51%          51.5%</t>
  </si>
  <si>
    <t>26%           26%</t>
  </si>
  <si>
    <t>54%             54%</t>
  </si>
  <si>
    <t>28%            28%</t>
  </si>
  <si>
    <t>29%           29%</t>
  </si>
  <si>
    <t>26%              26%</t>
  </si>
  <si>
    <t>28%              28%</t>
  </si>
  <si>
    <t>52%             52%</t>
  </si>
  <si>
    <t>43.5%       43.5%</t>
  </si>
  <si>
    <t>IPA's</t>
  </si>
  <si>
    <t xml:space="preserve">As of:  </t>
  </si>
  <si>
    <t>28%           28%</t>
  </si>
  <si>
    <t>Clinical Trials (Non-Federal)</t>
  </si>
  <si>
    <t>43.5%      43.5%</t>
  </si>
  <si>
    <t>29%              29%</t>
  </si>
  <si>
    <t>TABLE 1</t>
  </si>
  <si>
    <t>Modules (If Modular Budget)</t>
  </si>
  <si>
    <t>Put"X" in the box for MODULAR Budgets</t>
  </si>
  <si>
    <t xml:space="preserve">   (NIH Funding Only)</t>
  </si>
  <si>
    <t>MDC Ratio Table for On-Campus Research F&amp;A Rates</t>
  </si>
  <si>
    <t>MDC</t>
  </si>
  <si>
    <t>Rate 1</t>
  </si>
  <si>
    <t>SIMPLIFIED TABLE</t>
  </si>
  <si>
    <t xml:space="preserve">   All fields are protected EXCEPT the shaded areas.</t>
  </si>
  <si>
    <t xml:space="preserve">   1st Year   </t>
  </si>
  <si>
    <t xml:space="preserve">   2nd Year   </t>
  </si>
  <si>
    <t xml:space="preserve">   3rd Year   </t>
  </si>
  <si>
    <t xml:space="preserve">   4th Year   </t>
  </si>
  <si>
    <t xml:space="preserve">   5th Year   </t>
  </si>
  <si>
    <t xml:space="preserve">   TOTALS   </t>
  </si>
  <si>
    <t>Total Modified Direct Costs</t>
  </si>
  <si>
    <t>Yellow</t>
  </si>
  <si>
    <t xml:space="preserve">   Input areas.  Enter as applicable.</t>
  </si>
  <si>
    <t xml:space="preserve">   NOTE:  Inflation Factor on costs must be entered.  Enter zero if inapplicable.</t>
  </si>
  <si>
    <t xml:space="preserve">  MDC for Rate #1 </t>
  </si>
  <si>
    <t xml:space="preserve">  MDC for Rate</t>
  </si>
  <si>
    <t>Subtotal Direct Costs</t>
  </si>
  <si>
    <t>Green</t>
  </si>
  <si>
    <t xml:space="preserve">   These fields calculate an increase over the previous year's</t>
  </si>
  <si>
    <t>expense by the inflation factor entered in the "Modifiers" column on the "Supplies"</t>
  </si>
  <si>
    <t>TOTAL Direct Costs</t>
  </si>
  <si>
    <t>line. These fields are unprotected and figures can be altered if you need to enter</t>
  </si>
  <si>
    <t>an amount other than those calculated by the spreadsheet in subsequent years.</t>
  </si>
  <si>
    <t xml:space="preserve">  F&amp;A Costs Rate #1</t>
  </si>
  <si>
    <t xml:space="preserve">  F&amp;A Costs Rate</t>
  </si>
  <si>
    <t>TOTAL Project Costs</t>
  </si>
  <si>
    <t>MODULAR</t>
  </si>
  <si>
    <t xml:space="preserve">   Modular Variance</t>
  </si>
  <si>
    <t>Research MDC (50.5%)</t>
  </si>
  <si>
    <t>Total UNM F&amp;A Costs</t>
  </si>
  <si>
    <t>TOTAL Project Cost</t>
  </si>
  <si>
    <t>Modular Calculations based on $25,000/module</t>
  </si>
  <si>
    <t>per year</t>
  </si>
  <si>
    <t>Actual-</t>
  </si>
  <si>
    <t>Modular Deficit</t>
  </si>
  <si>
    <r>
      <rPr>
        <b/>
        <i/>
        <sz val="10"/>
        <color rgb="FFFF0000"/>
        <rFont val="Arial"/>
        <family val="2"/>
      </rPr>
      <t>&gt;.25 FTE</t>
    </r>
    <r>
      <rPr>
        <b/>
        <i/>
        <sz val="10"/>
        <rFont val="Arial"/>
        <family val="2"/>
      </rPr>
      <t xml:space="preserve"> Student Health Insurance Benefits</t>
    </r>
  </si>
  <si>
    <t>Participant Incentives</t>
  </si>
  <si>
    <t>Sub's Indirect Costs</t>
  </si>
  <si>
    <t>Sub's Direct Costs</t>
  </si>
  <si>
    <t xml:space="preserve">organization.  Be sure to include the subawardee's F&amp;A costs in the budget. You may enter the F&amp;A percentage as a whole </t>
  </si>
  <si>
    <t xml:space="preserve">number in the shaded cell to the left of "Sub's Indirect Costs", or you can add the F&amp;A costs directly to the Indirect Costs </t>
  </si>
  <si>
    <t>shaded cell</t>
  </si>
  <si>
    <t>FY 2022</t>
  </si>
  <si>
    <r>
      <t xml:space="preserve">Place an "X" in the appropriate box if using a percentage </t>
    </r>
    <r>
      <rPr>
        <b/>
        <i/>
        <sz val="9"/>
        <color theme="8" tint="-0.249977111117893"/>
        <rFont val="Arial"/>
        <family val="2"/>
      </rPr>
      <t>other than 0%</t>
    </r>
    <r>
      <rPr>
        <b/>
        <sz val="9"/>
        <color theme="8" tint="-0.249977111117893"/>
        <rFont val="Arial"/>
        <family val="2"/>
      </rPr>
      <t>:</t>
    </r>
  </si>
  <si>
    <t>7/1/22-6/30/23</t>
  </si>
  <si>
    <t>FY 2023</t>
  </si>
  <si>
    <t>7/1/23-6/30/24</t>
  </si>
  <si>
    <t>FY 2024</t>
  </si>
  <si>
    <t>FY 2025</t>
  </si>
  <si>
    <t>7/1/24-6/30/25</t>
  </si>
  <si>
    <t>7/1/25-6/30/26</t>
  </si>
  <si>
    <t>FY 2026</t>
  </si>
  <si>
    <t>7/1/26-6/30/27</t>
  </si>
  <si>
    <t>Research MDC (52.5%)</t>
  </si>
  <si>
    <t>UNM F&amp;A Costs (52.5%)</t>
  </si>
  <si>
    <t>Revised 3/14/2023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</si>
</sst>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44" formatCode="_(&quot;$&quot;* #,##0.00_);_(&quot;$&quot;* \(#,##0.00\);_(&quot;$&quot;* &quot;-&quot;??_);_(@_)"/>
    <numFmt numFmtId="164" formatCode="#,##0.0000_);\(#,##0.0000\)"/>
    <numFmt numFmtId="165" formatCode="0.0000"/>
    <numFmt numFmtId="166" formatCode="mm/dd/yy"/>
    <numFmt numFmtId="167" formatCode="0.0%"/>
    <numFmt numFmtId="168" formatCode="0.000"/>
    <numFmt numFmtId="169" formatCode="&quot;$&quot;#,##0"/>
    <numFmt numFmtId="170" formatCode="#,##0.000;\-#,##0.000"/>
    <numFmt numFmtId="171" formatCode="#,##0.00000;\-#,##0.00000"/>
    <numFmt numFmtId="172" formatCode="#,##0.0000000;\-#,##0.0000000"/>
    <numFmt numFmtId="173" formatCode="#,##0.000_);\(#,##0.000\)"/>
    <numFmt numFmtId="174" formatCode="0_);\(0\)"/>
    <numFmt numFmtId="175" formatCode="m/d/yyyy;@"/>
    <numFmt numFmtId="176" formatCode="0.00000"/>
    <numFmt numFmtId="177" formatCode="0.0"/>
  </numFmts>
  <fonts count="85" x14ac:knownFonts="1">
    <font>
      <sz val="10"/>
      <name val="Arial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u/>
      <sz val="9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u/>
      <sz val="9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b/>
      <u val="double"/>
      <sz val="9"/>
      <color indexed="8"/>
      <name val="Arial"/>
      <family val="2"/>
    </font>
    <font>
      <b/>
      <i/>
      <sz val="8"/>
      <name val="Arial"/>
      <family val="2"/>
    </font>
    <font>
      <b/>
      <i/>
      <u/>
      <sz val="9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6"/>
      <name val="Arial"/>
      <family val="2"/>
    </font>
    <font>
      <u/>
      <sz val="14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4"/>
      <color indexed="10"/>
      <name val="Arial"/>
      <family val="2"/>
    </font>
    <font>
      <i/>
      <sz val="12"/>
      <color indexed="8"/>
      <name val="Arial"/>
      <family val="2"/>
    </font>
    <font>
      <b/>
      <sz val="7.5"/>
      <name val="Arial"/>
      <family val="2"/>
    </font>
    <font>
      <b/>
      <sz val="14"/>
      <color rgb="FFFF0000"/>
      <name val="Arial"/>
      <family val="2"/>
    </font>
    <font>
      <b/>
      <i/>
      <sz val="11"/>
      <color theme="1"/>
      <name val="Arial"/>
      <family val="2"/>
    </font>
    <font>
      <b/>
      <sz val="9"/>
      <color theme="8" tint="-0.249977111117893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24"/>
      <color rgb="FFFF0000"/>
      <name val="Calibri"/>
      <family val="2"/>
    </font>
    <font>
      <b/>
      <sz val="20"/>
      <color rgb="FF000000"/>
      <name val="Calibri"/>
      <family val="2"/>
    </font>
    <font>
      <b/>
      <i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theme="0"/>
      <name val="Arial Black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u val="double"/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color theme="0"/>
      <name val="Arial"/>
      <family val="2"/>
    </font>
    <font>
      <sz val="6"/>
      <color theme="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i/>
      <sz val="9"/>
      <color theme="8" tint="-0.24997711111789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lightTrellis">
        <fgColor indexed="9"/>
        <bgColor indexed="2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CD9FE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indexed="42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</borders>
  <cellStyleXfs count="7">
    <xf numFmtId="37" fontId="0" fillId="2" borderId="0"/>
    <xf numFmtId="44" fontId="3" fillId="0" borderId="0" applyFont="0" applyFill="0" applyBorder="0" applyAlignment="0" applyProtection="0"/>
    <xf numFmtId="37" fontId="3" fillId="2" borderId="0"/>
    <xf numFmtId="0" fontId="3" fillId="2" borderId="0"/>
    <xf numFmtId="0" fontId="3" fillId="2" borderId="0"/>
    <xf numFmtId="0" fontId="3" fillId="2" borderId="0"/>
    <xf numFmtId="9" fontId="3" fillId="0" borderId="0" applyFont="0" applyFill="0" applyBorder="0" applyAlignment="0" applyProtection="0"/>
  </cellStyleXfs>
  <cellXfs count="973">
    <xf numFmtId="37" fontId="0" fillId="2" borderId="0" xfId="0" applyNumberFormat="1"/>
    <xf numFmtId="37" fontId="0" fillId="2" borderId="0" xfId="0" applyNumberFormat="1" applyAlignment="1">
      <alignment horizontal="right"/>
    </xf>
    <xf numFmtId="0" fontId="1" fillId="2" borderId="0" xfId="5" applyNumberFormat="1" applyFont="1" applyAlignment="1">
      <alignment horizontal="centerContinuous"/>
    </xf>
    <xf numFmtId="0" fontId="3" fillId="2" borderId="0" xfId="5" applyNumberFormat="1" applyAlignment="1">
      <alignment horizontal="centerContinuous"/>
    </xf>
    <xf numFmtId="0" fontId="3" fillId="2" borderId="0" xfId="5" applyNumberFormat="1"/>
    <xf numFmtId="37" fontId="3" fillId="2" borderId="0" xfId="5" applyNumberFormat="1" applyAlignment="1">
      <alignment horizontal="centerContinuous"/>
    </xf>
    <xf numFmtId="0" fontId="3" fillId="2" borderId="1" xfId="5" applyNumberFormat="1" applyBorder="1" applyAlignment="1">
      <alignment horizontal="center"/>
    </xf>
    <xf numFmtId="37" fontId="3" fillId="2" borderId="0" xfId="5" applyNumberFormat="1"/>
    <xf numFmtId="166" fontId="2" fillId="2" borderId="0" xfId="5" applyNumberFormat="1" applyFont="1"/>
    <xf numFmtId="0" fontId="3" fillId="2" borderId="0" xfId="3" applyNumberFormat="1" applyAlignment="1">
      <alignment horizontal="centerContinuous"/>
    </xf>
    <xf numFmtId="0" fontId="3" fillId="2" borderId="0" xfId="3" applyNumberFormat="1"/>
    <xf numFmtId="0" fontId="3" fillId="2" borderId="0" xfId="3" applyNumberFormat="1" applyAlignment="1">
      <alignment horizontal="left"/>
    </xf>
    <xf numFmtId="0" fontId="1" fillId="2" borderId="3" xfId="3" applyNumberFormat="1" applyFont="1" applyBorder="1" applyAlignment="1">
      <alignment horizontal="center"/>
    </xf>
    <xf numFmtId="0" fontId="1" fillId="2" borderId="4" xfId="3" applyNumberFormat="1" applyFont="1" applyBorder="1" applyAlignment="1">
      <alignment horizontal="center"/>
    </xf>
    <xf numFmtId="0" fontId="3" fillId="2" borderId="5" xfId="3" applyNumberFormat="1" applyBorder="1"/>
    <xf numFmtId="0" fontId="3" fillId="2" borderId="7" xfId="3" applyNumberFormat="1" applyBorder="1"/>
    <xf numFmtId="0" fontId="3" fillId="2" borderId="7" xfId="3" applyNumberFormat="1" applyBorder="1" applyAlignment="1">
      <alignment horizontal="center"/>
    </xf>
    <xf numFmtId="37" fontId="4" fillId="2" borderId="0" xfId="0" applyNumberFormat="1" applyFont="1" applyAlignment="1">
      <alignment horizontal="centerContinuous"/>
    </xf>
    <xf numFmtId="37" fontId="5" fillId="2" borderId="0" xfId="0" applyNumberFormat="1" applyFont="1" applyAlignment="1">
      <alignment horizontal="centerContinuous"/>
    </xf>
    <xf numFmtId="37" fontId="5" fillId="2" borderId="0" xfId="0" applyNumberFormat="1" applyFont="1"/>
    <xf numFmtId="10" fontId="5" fillId="2" borderId="2" xfId="0" applyNumberFormat="1" applyFont="1" applyBorder="1"/>
    <xf numFmtId="165" fontId="5" fillId="2" borderId="2" xfId="0" applyNumberFormat="1" applyFont="1" applyBorder="1"/>
    <xf numFmtId="37" fontId="5" fillId="2" borderId="9" xfId="0" applyNumberFormat="1" applyFont="1" applyBorder="1" applyAlignment="1">
      <alignment horizontal="center"/>
    </xf>
    <xf numFmtId="37" fontId="5" fillId="2" borderId="9" xfId="0" applyNumberFormat="1" applyFont="1" applyBorder="1"/>
    <xf numFmtId="37" fontId="5" fillId="2" borderId="10" xfId="0" applyNumberFormat="1" applyFont="1" applyBorder="1" applyAlignment="1">
      <alignment horizontal="center"/>
    </xf>
    <xf numFmtId="37" fontId="5" fillId="2" borderId="0" xfId="0" applyNumberFormat="1" applyFont="1" applyAlignment="1">
      <alignment horizontal="center"/>
    </xf>
    <xf numFmtId="37" fontId="5" fillId="2" borderId="11" xfId="0" applyNumberFormat="1" applyFont="1" applyBorder="1" applyAlignment="1">
      <alignment horizontal="center"/>
    </xf>
    <xf numFmtId="37" fontId="5" fillId="2" borderId="2" xfId="0" applyNumberFormat="1" applyFont="1" applyBorder="1" applyAlignment="1">
      <alignment horizontal="center"/>
    </xf>
    <xf numFmtId="37" fontId="5" fillId="2" borderId="12" xfId="0" applyNumberFormat="1" applyFont="1" applyBorder="1" applyAlignment="1">
      <alignment horizontal="center"/>
    </xf>
    <xf numFmtId="37" fontId="7" fillId="2" borderId="0" xfId="0" applyNumberFormat="1" applyFont="1" applyAlignment="1"/>
    <xf numFmtId="37" fontId="0" fillId="2" borderId="0" xfId="0" applyNumberFormat="1" applyProtection="1"/>
    <xf numFmtId="37" fontId="5" fillId="2" borderId="0" xfId="0" applyNumberFormat="1" applyFont="1" applyProtection="1"/>
    <xf numFmtId="37" fontId="3" fillId="2" borderId="17" xfId="4" applyNumberFormat="1" applyBorder="1" applyAlignment="1" applyProtection="1">
      <alignment horizontal="right"/>
    </xf>
    <xf numFmtId="37" fontId="3" fillId="2" borderId="8" xfId="4" applyNumberFormat="1" applyFill="1" applyBorder="1" applyAlignment="1" applyProtection="1">
      <alignment horizontal="right"/>
    </xf>
    <xf numFmtId="37" fontId="0" fillId="2" borderId="0" xfId="0" applyNumberFormat="1" applyAlignment="1" applyProtection="1">
      <alignment horizontal="right"/>
    </xf>
    <xf numFmtId="166" fontId="2" fillId="2" borderId="0" xfId="3" applyNumberFormat="1" applyFont="1" applyProtection="1"/>
    <xf numFmtId="37" fontId="3" fillId="3" borderId="8" xfId="4" applyNumberFormat="1" applyFill="1" applyBorder="1" applyAlignment="1" applyProtection="1">
      <alignment horizontal="right"/>
    </xf>
    <xf numFmtId="37" fontId="3" fillId="3" borderId="6" xfId="4" applyNumberFormat="1" applyFill="1" applyBorder="1" applyAlignment="1" applyProtection="1">
      <alignment horizontal="right"/>
    </xf>
    <xf numFmtId="37" fontId="0" fillId="2" borderId="0" xfId="0" applyNumberFormat="1" applyAlignment="1">
      <alignment horizontal="center"/>
    </xf>
    <xf numFmtId="37" fontId="10" fillId="2" borderId="0" xfId="0" applyNumberFormat="1" applyFont="1" applyAlignment="1">
      <alignment horizontal="center"/>
    </xf>
    <xf numFmtId="165" fontId="5" fillId="2" borderId="0" xfId="0" applyNumberFormat="1" applyFont="1"/>
    <xf numFmtId="37" fontId="11" fillId="2" borderId="0" xfId="0" applyNumberFormat="1" applyFont="1"/>
    <xf numFmtId="37" fontId="10" fillId="2" borderId="0" xfId="0" applyNumberFormat="1" applyFont="1" applyAlignment="1">
      <alignment horizontal="centerContinuous"/>
    </xf>
    <xf numFmtId="0" fontId="3" fillId="2" borderId="0" xfId="3" applyNumberFormat="1" applyFont="1"/>
    <xf numFmtId="37" fontId="0" fillId="2" borderId="0" xfId="0" applyNumberFormat="1" applyAlignment="1">
      <alignment horizontal="centerContinuous"/>
    </xf>
    <xf numFmtId="37" fontId="13" fillId="2" borderId="0" xfId="0" applyNumberFormat="1" applyFont="1" applyAlignment="1">
      <alignment horizontal="centerContinuous"/>
    </xf>
    <xf numFmtId="37" fontId="5" fillId="2" borderId="0" xfId="0" applyNumberFormat="1" applyFont="1" applyBorder="1" applyAlignment="1">
      <alignment horizontal="center"/>
    </xf>
    <xf numFmtId="37" fontId="5" fillId="2" borderId="0" xfId="0" applyNumberFormat="1" applyFont="1" applyBorder="1"/>
    <xf numFmtId="1" fontId="5" fillId="2" borderId="0" xfId="0" applyNumberFormat="1" applyFont="1" applyBorder="1"/>
    <xf numFmtId="0" fontId="3" fillId="2" borderId="18" xfId="5" applyNumberFormat="1" applyBorder="1"/>
    <xf numFmtId="0" fontId="3" fillId="2" borderId="18" xfId="5" applyNumberFormat="1" applyBorder="1" applyAlignment="1">
      <alignment horizontal="center"/>
    </xf>
    <xf numFmtId="37" fontId="3" fillId="2" borderId="18" xfId="5" applyNumberFormat="1" applyBorder="1"/>
    <xf numFmtId="37" fontId="3" fillId="2" borderId="19" xfId="5" applyNumberFormat="1" applyBorder="1"/>
    <xf numFmtId="37" fontId="3" fillId="2" borderId="20" xfId="5" applyNumberFormat="1" applyBorder="1"/>
    <xf numFmtId="37" fontId="3" fillId="2" borderId="21" xfId="5" applyNumberFormat="1" applyBorder="1"/>
    <xf numFmtId="37" fontId="3" fillId="2" borderId="22" xfId="5" applyNumberFormat="1" applyBorder="1"/>
    <xf numFmtId="0" fontId="3" fillId="2" borderId="18" xfId="5" applyNumberFormat="1" applyFont="1" applyBorder="1" applyAlignment="1">
      <alignment horizontal="center"/>
    </xf>
    <xf numFmtId="0" fontId="3" fillId="2" borderId="18" xfId="5" applyNumberFormat="1" applyFont="1" applyBorder="1"/>
    <xf numFmtId="37" fontId="5" fillId="2" borderId="0" xfId="0" applyNumberFormat="1" applyFont="1" applyAlignment="1">
      <alignment horizontal="right"/>
    </xf>
    <xf numFmtId="0" fontId="3" fillId="2" borderId="0" xfId="5" applyNumberFormat="1" applyBorder="1"/>
    <xf numFmtId="37" fontId="3" fillId="2" borderId="0" xfId="5" applyNumberFormat="1" applyBorder="1"/>
    <xf numFmtId="37" fontId="1" fillId="2" borderId="0" xfId="5" applyNumberFormat="1" applyFont="1" applyBorder="1"/>
    <xf numFmtId="37" fontId="3" fillId="2" borderId="0" xfId="5" applyNumberFormat="1" applyAlignment="1">
      <alignment horizontal="left"/>
    </xf>
    <xf numFmtId="37" fontId="5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 horizontal="left" indent="2"/>
    </xf>
    <xf numFmtId="37" fontId="10" fillId="2" borderId="0" xfId="0" applyNumberFormat="1" applyFont="1" applyAlignment="1">
      <alignment horizontal="right"/>
    </xf>
    <xf numFmtId="1" fontId="5" fillId="2" borderId="2" xfId="0" applyNumberFormat="1" applyFont="1" applyBorder="1" applyAlignment="1">
      <alignment horizontal="right"/>
    </xf>
    <xf numFmtId="37" fontId="4" fillId="2" borderId="9" xfId="0" applyNumberFormat="1" applyFont="1" applyBorder="1" applyAlignment="1">
      <alignment horizontal="left"/>
    </xf>
    <xf numFmtId="37" fontId="0" fillId="2" borderId="23" xfId="0" applyNumberFormat="1" applyBorder="1" applyAlignment="1"/>
    <xf numFmtId="37" fontId="9" fillId="2" borderId="24" xfId="0" applyNumberFormat="1" applyFont="1" applyBorder="1" applyAlignment="1">
      <alignment horizontal="left" indent="1"/>
    </xf>
    <xf numFmtId="0" fontId="3" fillId="2" borderId="1" xfId="5" applyNumberFormat="1" applyFont="1" applyBorder="1" applyAlignment="1">
      <alignment horizontal="center"/>
    </xf>
    <xf numFmtId="0" fontId="3" fillId="2" borderId="0" xfId="3" applyNumberFormat="1" applyFont="1" applyAlignment="1">
      <alignment horizontal="left"/>
    </xf>
    <xf numFmtId="0" fontId="1" fillId="2" borderId="0" xfId="5" applyNumberFormat="1" applyFont="1" applyAlignment="1">
      <alignment horizontal="center"/>
    </xf>
    <xf numFmtId="37" fontId="3" fillId="2" borderId="25" xfId="5" applyNumberFormat="1" applyBorder="1"/>
    <xf numFmtId="37" fontId="1" fillId="2" borderId="25" xfId="5" applyNumberFormat="1" applyFont="1" applyBorder="1"/>
    <xf numFmtId="0" fontId="3" fillId="2" borderId="25" xfId="5" applyNumberFormat="1" applyBorder="1"/>
    <xf numFmtId="37" fontId="3" fillId="2" borderId="26" xfId="5" applyNumberFormat="1" applyBorder="1"/>
    <xf numFmtId="0" fontId="3" fillId="2" borderId="0" xfId="5" applyNumberFormat="1" applyFont="1" applyAlignment="1">
      <alignment horizontal="right"/>
    </xf>
    <xf numFmtId="37" fontId="0" fillId="2" borderId="0" xfId="0" applyNumberFormat="1" applyAlignment="1">
      <alignment wrapText="1"/>
    </xf>
    <xf numFmtId="37" fontId="3" fillId="2" borderId="27" xfId="3" applyNumberFormat="1" applyBorder="1"/>
    <xf numFmtId="37" fontId="5" fillId="2" borderId="0" xfId="0" applyNumberFormat="1" applyFont="1" applyAlignment="1" applyProtection="1">
      <alignment horizontal="center"/>
    </xf>
    <xf numFmtId="1" fontId="5" fillId="0" borderId="13" xfId="0" applyNumberFormat="1" applyFont="1" applyFill="1" applyBorder="1" applyProtection="1"/>
    <xf numFmtId="9" fontId="0" fillId="2" borderId="0" xfId="0" applyNumberFormat="1"/>
    <xf numFmtId="170" fontId="0" fillId="2" borderId="0" xfId="0" applyNumberFormat="1"/>
    <xf numFmtId="37" fontId="0" fillId="2" borderId="0" xfId="0" applyNumberFormat="1" applyAlignment="1" applyProtection="1">
      <alignment horizontal="center"/>
    </xf>
    <xf numFmtId="9" fontId="0" fillId="2" borderId="0" xfId="0" applyNumberFormat="1" applyProtection="1"/>
    <xf numFmtId="37" fontId="4" fillId="2" borderId="0" xfId="0" applyNumberFormat="1" applyFont="1" applyProtection="1"/>
    <xf numFmtId="37" fontId="5" fillId="2" borderId="0" xfId="0" applyNumberFormat="1" applyFont="1" applyAlignment="1" applyProtection="1">
      <alignment horizontal="right"/>
    </xf>
    <xf numFmtId="37" fontId="0" fillId="2" borderId="0" xfId="0" quotePrefix="1" applyNumberFormat="1" applyAlignment="1" applyProtection="1">
      <alignment horizontal="center"/>
    </xf>
    <xf numFmtId="167" fontId="3" fillId="4" borderId="0" xfId="3" applyNumberFormat="1" applyFill="1" applyBorder="1" applyProtection="1"/>
    <xf numFmtId="169" fontId="3" fillId="4" borderId="0" xfId="3" applyNumberFormat="1" applyFill="1" applyBorder="1" applyProtection="1"/>
    <xf numFmtId="167" fontId="0" fillId="2" borderId="0" xfId="0" applyNumberFormat="1" applyProtection="1"/>
    <xf numFmtId="167" fontId="0" fillId="2" borderId="0" xfId="0" applyNumberFormat="1" applyAlignment="1" applyProtection="1">
      <alignment horizontal="right"/>
    </xf>
    <xf numFmtId="172" fontId="0" fillId="2" borderId="0" xfId="0" applyNumberFormat="1" applyProtection="1"/>
    <xf numFmtId="167" fontId="3" fillId="2" borderId="18" xfId="5" applyNumberFormat="1" applyBorder="1"/>
    <xf numFmtId="37" fontId="4" fillId="2" borderId="28" xfId="0" applyNumberFormat="1" applyFont="1" applyBorder="1" applyProtection="1"/>
    <xf numFmtId="37" fontId="4" fillId="2" borderId="29" xfId="0" applyNumberFormat="1" applyFont="1" applyBorder="1" applyProtection="1"/>
    <xf numFmtId="37" fontId="5" fillId="2" borderId="0" xfId="0" applyNumberFormat="1" applyFont="1" applyAlignment="1" applyProtection="1">
      <alignment horizontal="centerContinuous"/>
    </xf>
    <xf numFmtId="37" fontId="4" fillId="2" borderId="0" xfId="0" applyNumberFormat="1" applyFont="1" applyAlignment="1" applyProtection="1">
      <alignment horizontal="center"/>
    </xf>
    <xf numFmtId="37" fontId="11" fillId="2" borderId="0" xfId="0" applyNumberFormat="1" applyFont="1" applyAlignment="1" applyProtection="1">
      <alignment horizontal="center"/>
    </xf>
    <xf numFmtId="37" fontId="4" fillId="2" borderId="30" xfId="0" applyNumberFormat="1" applyFont="1" applyBorder="1" applyProtection="1"/>
    <xf numFmtId="37" fontId="5" fillId="2" borderId="0" xfId="0" applyNumberFormat="1" applyFont="1" applyBorder="1" applyAlignment="1" applyProtection="1">
      <alignment horizontal="centerContinuous"/>
    </xf>
    <xf numFmtId="37" fontId="4" fillId="2" borderId="30" xfId="0" applyNumberFormat="1" applyFont="1" applyBorder="1" applyAlignment="1" applyProtection="1">
      <alignment horizontal="centerContinuous"/>
    </xf>
    <xf numFmtId="37" fontId="5" fillId="2" borderId="9" xfId="0" applyNumberFormat="1" applyFont="1" applyBorder="1" applyAlignment="1" applyProtection="1">
      <alignment horizontal="centerContinuous"/>
    </xf>
    <xf numFmtId="37" fontId="5" fillId="2" borderId="10" xfId="0" applyNumberFormat="1" applyFont="1" applyBorder="1" applyAlignment="1" applyProtection="1">
      <alignment horizontal="centerContinuous"/>
    </xf>
    <xf numFmtId="37" fontId="5" fillId="2" borderId="31" xfId="0" applyNumberFormat="1" applyFont="1" applyBorder="1" applyProtection="1"/>
    <xf numFmtId="37" fontId="5" fillId="2" borderId="31" xfId="0" applyNumberFormat="1" applyFont="1" applyBorder="1" applyAlignment="1" applyProtection="1">
      <alignment horizontal="right"/>
    </xf>
    <xf numFmtId="37" fontId="5" fillId="2" borderId="11" xfId="0" applyNumberFormat="1" applyFont="1" applyBorder="1" applyAlignment="1" applyProtection="1">
      <alignment horizontal="center"/>
    </xf>
    <xf numFmtId="37" fontId="5" fillId="2" borderId="31" xfId="0" applyNumberFormat="1" applyFont="1" applyBorder="1" applyAlignment="1" applyProtection="1">
      <alignment horizontal="center"/>
    </xf>
    <xf numFmtId="37" fontId="5" fillId="2" borderId="32" xfId="0" applyNumberFormat="1" applyFont="1" applyBorder="1" applyProtection="1"/>
    <xf numFmtId="37" fontId="5" fillId="2" borderId="32" xfId="0" applyNumberFormat="1" applyFont="1" applyBorder="1" applyAlignment="1" applyProtection="1">
      <alignment horizontal="right"/>
    </xf>
    <xf numFmtId="37" fontId="5" fillId="2" borderId="2" xfId="0" applyNumberFormat="1" applyFont="1" applyBorder="1" applyAlignment="1" applyProtection="1">
      <alignment horizontal="center"/>
    </xf>
    <xf numFmtId="37" fontId="5" fillId="2" borderId="12" xfId="0" applyNumberFormat="1" applyFont="1" applyBorder="1" applyAlignment="1" applyProtection="1">
      <alignment horizontal="center"/>
    </xf>
    <xf numFmtId="37" fontId="6" fillId="2" borderId="0" xfId="0" applyNumberFormat="1" applyFont="1" applyAlignment="1" applyProtection="1">
      <alignment horizontal="center"/>
    </xf>
    <xf numFmtId="37" fontId="5" fillId="2" borderId="19" xfId="0" applyNumberFormat="1" applyFont="1" applyBorder="1" applyAlignment="1" applyProtection="1">
      <alignment horizontal="left"/>
    </xf>
    <xf numFmtId="37" fontId="5" fillId="2" borderId="19" xfId="0" applyNumberFormat="1" applyFont="1" applyBorder="1" applyProtection="1"/>
    <xf numFmtId="37" fontId="5" fillId="2" borderId="21" xfId="0" applyFont="1" applyBorder="1" applyProtection="1"/>
    <xf numFmtId="37" fontId="5" fillId="2" borderId="14" xfId="0" applyNumberFormat="1" applyFont="1" applyBorder="1" applyProtection="1"/>
    <xf numFmtId="37" fontId="5" fillId="2" borderId="21" xfId="0" applyNumberFormat="1" applyFont="1" applyBorder="1" applyProtection="1"/>
    <xf numFmtId="165" fontId="5" fillId="2" borderId="0" xfId="0" applyNumberFormat="1" applyFont="1" applyAlignment="1" applyProtection="1">
      <alignment horizontal="center"/>
    </xf>
    <xf numFmtId="37" fontId="5" fillId="2" borderId="0" xfId="0" quotePrefix="1" applyNumberFormat="1" applyFont="1" applyProtection="1"/>
    <xf numFmtId="37" fontId="5" fillId="2" borderId="0" xfId="0" applyNumberFormat="1" applyFont="1" applyBorder="1" applyAlignment="1" applyProtection="1">
      <alignment horizontal="center"/>
    </xf>
    <xf numFmtId="37" fontId="5" fillId="2" borderId="28" xfId="0" applyNumberFormat="1" applyFont="1" applyBorder="1" applyProtection="1"/>
    <xf numFmtId="37" fontId="5" fillId="2" borderId="33" xfId="0" applyFont="1" applyBorder="1" applyProtection="1"/>
    <xf numFmtId="37" fontId="5" fillId="2" borderId="0" xfId="0" applyNumberFormat="1" applyFont="1" applyBorder="1" applyProtection="1"/>
    <xf numFmtId="37" fontId="0" fillId="2" borderId="29" xfId="0" applyNumberFormat="1" applyBorder="1" applyProtection="1"/>
    <xf numFmtId="37" fontId="5" fillId="2" borderId="0" xfId="0" applyNumberFormat="1" applyFont="1" applyBorder="1" applyAlignment="1" applyProtection="1">
      <alignment horizontal="right"/>
    </xf>
    <xf numFmtId="164" fontId="5" fillId="2" borderId="0" xfId="0" applyNumberFormat="1" applyFont="1" applyProtection="1"/>
    <xf numFmtId="37" fontId="5" fillId="2" borderId="0" xfId="0" applyNumberFormat="1" applyFont="1" applyBorder="1" applyAlignment="1" applyProtection="1">
      <alignment horizontal="left"/>
    </xf>
    <xf numFmtId="37" fontId="5" fillId="2" borderId="32" xfId="0" applyNumberFormat="1" applyFont="1" applyBorder="1" applyAlignment="1" applyProtection="1">
      <alignment horizontal="center"/>
    </xf>
    <xf numFmtId="37" fontId="5" fillId="2" borderId="34" xfId="0" applyNumberFormat="1" applyFont="1" applyBorder="1" applyAlignment="1" applyProtection="1">
      <alignment horizontal="right"/>
    </xf>
    <xf numFmtId="37" fontId="5" fillId="2" borderId="34" xfId="0" applyNumberFormat="1" applyFont="1" applyBorder="1" applyProtection="1"/>
    <xf numFmtId="164" fontId="5" fillId="2" borderId="0" xfId="0" quotePrefix="1" applyNumberFormat="1" applyFont="1" applyProtection="1"/>
    <xf numFmtId="37" fontId="5" fillId="2" borderId="14" xfId="0" applyNumberFormat="1" applyFont="1" applyBorder="1" applyAlignment="1" applyProtection="1">
      <alignment horizontal="right"/>
    </xf>
    <xf numFmtId="37" fontId="5" fillId="2" borderId="0" xfId="0" applyNumberFormat="1" applyFont="1" applyAlignment="1" applyProtection="1"/>
    <xf numFmtId="166" fontId="7" fillId="2" borderId="0" xfId="0" applyNumberFormat="1" applyFont="1" applyAlignment="1" applyProtection="1"/>
    <xf numFmtId="171" fontId="0" fillId="2" borderId="0" xfId="0" applyNumberFormat="1" applyProtection="1"/>
    <xf numFmtId="171" fontId="0" fillId="2" borderId="0" xfId="0" applyNumberFormat="1"/>
    <xf numFmtId="170" fontId="0" fillId="2" borderId="0" xfId="0" applyNumberFormat="1" applyAlignment="1">
      <alignment horizontal="left"/>
    </xf>
    <xf numFmtId="173" fontId="0" fillId="2" borderId="0" xfId="0" applyNumberFormat="1" applyAlignment="1">
      <alignment horizontal="left"/>
    </xf>
    <xf numFmtId="167" fontId="0" fillId="2" borderId="0" xfId="0" applyNumberFormat="1"/>
    <xf numFmtId="2" fontId="3" fillId="2" borderId="2" xfId="3" applyNumberFormat="1" applyFont="1" applyFill="1" applyBorder="1" applyAlignment="1">
      <alignment horizontal="left"/>
    </xf>
    <xf numFmtId="165" fontId="5" fillId="3" borderId="0" xfId="0" applyNumberFormat="1" applyFont="1" applyFill="1" applyBorder="1" applyAlignment="1" applyProtection="1">
      <alignment horizontal="right"/>
    </xf>
    <xf numFmtId="37" fontId="0" fillId="2" borderId="13" xfId="0" applyNumberFormat="1" applyBorder="1" applyAlignment="1">
      <alignment horizontal="center"/>
    </xf>
    <xf numFmtId="37" fontId="0" fillId="2" borderId="13" xfId="0" applyNumberFormat="1" applyBorder="1" applyAlignment="1" applyProtection="1">
      <alignment horizontal="center"/>
    </xf>
    <xf numFmtId="170" fontId="0" fillId="2" borderId="0" xfId="0" applyNumberFormat="1" applyAlignment="1">
      <alignment horizontal="center"/>
    </xf>
    <xf numFmtId="170" fontId="0" fillId="2" borderId="0" xfId="0" applyNumberFormat="1" applyProtection="1"/>
    <xf numFmtId="37" fontId="0" fillId="2" borderId="0" xfId="0" applyNumberFormat="1" applyAlignment="1"/>
    <xf numFmtId="37" fontId="5" fillId="2" borderId="18" xfId="0" applyNumberFormat="1" applyFont="1" applyBorder="1" applyAlignment="1" applyProtection="1">
      <alignment horizontal="left"/>
    </xf>
    <xf numFmtId="37" fontId="5" fillId="2" borderId="1" xfId="0" applyNumberFormat="1" applyFont="1" applyBorder="1" applyAlignment="1" applyProtection="1">
      <alignment horizontal="right"/>
    </xf>
    <xf numFmtId="37" fontId="5" fillId="2" borderId="18" xfId="0" applyNumberFormat="1" applyFont="1" applyBorder="1" applyProtection="1"/>
    <xf numFmtId="37" fontId="5" fillId="2" borderId="36" xfId="0" applyNumberFormat="1" applyFont="1" applyBorder="1" applyProtection="1"/>
    <xf numFmtId="37" fontId="3" fillId="2" borderId="37" xfId="5" applyNumberFormat="1" applyBorder="1"/>
    <xf numFmtId="0" fontId="3" fillId="2" borderId="38" xfId="5" applyNumberFormat="1" applyBorder="1"/>
    <xf numFmtId="37" fontId="3" fillId="2" borderId="38" xfId="5" applyNumberFormat="1" applyBorder="1"/>
    <xf numFmtId="37" fontId="3" fillId="2" borderId="39" xfId="5" applyNumberFormat="1" applyBorder="1"/>
    <xf numFmtId="37" fontId="3" fillId="2" borderId="19" xfId="5" applyNumberFormat="1" applyBorder="1" applyAlignment="1">
      <alignment horizontal="left"/>
    </xf>
    <xf numFmtId="37" fontId="3" fillId="2" borderId="20" xfId="5" applyNumberFormat="1" applyBorder="1" applyAlignment="1">
      <alignment horizontal="left"/>
    </xf>
    <xf numFmtId="37" fontId="3" fillId="2" borderId="37" xfId="5" applyNumberFormat="1" applyBorder="1" applyAlignment="1">
      <alignment horizontal="left"/>
    </xf>
    <xf numFmtId="37" fontId="0" fillId="2" borderId="0" xfId="0" applyNumberFormat="1" applyBorder="1" applyAlignment="1"/>
    <xf numFmtId="0" fontId="3" fillId="2" borderId="0" xfId="3" applyNumberFormat="1" applyBorder="1"/>
    <xf numFmtId="37" fontId="5" fillId="2" borderId="8" xfId="0" applyNumberFormat="1" applyFont="1" applyBorder="1" applyAlignment="1">
      <alignment horizontal="center"/>
    </xf>
    <xf numFmtId="37" fontId="5" fillId="2" borderId="6" xfId="0" applyNumberFormat="1" applyFont="1" applyBorder="1" applyAlignment="1">
      <alignment horizontal="center"/>
    </xf>
    <xf numFmtId="37" fontId="4" fillId="2" borderId="2" xfId="0" applyNumberFormat="1" applyFont="1" applyBorder="1" applyProtection="1"/>
    <xf numFmtId="0" fontId="3" fillId="2" borderId="7" xfId="3" applyNumberFormat="1" applyFont="1" applyBorder="1" applyAlignment="1">
      <alignment horizontal="center"/>
    </xf>
    <xf numFmtId="37" fontId="5" fillId="6" borderId="13" xfId="0" applyNumberFormat="1" applyFont="1" applyFill="1" applyBorder="1" applyAlignment="1" applyProtection="1">
      <alignment horizontal="right"/>
      <protection locked="0"/>
    </xf>
    <xf numFmtId="0" fontId="3" fillId="2" borderId="42" xfId="3" applyNumberFormat="1" applyFont="1" applyBorder="1"/>
    <xf numFmtId="37" fontId="3" fillId="7" borderId="43" xfId="3" applyNumberFormat="1" applyFill="1" applyBorder="1" applyAlignment="1">
      <alignment horizontal="right"/>
    </xf>
    <xf numFmtId="37" fontId="3" fillId="7" borderId="22" xfId="3" applyNumberFormat="1" applyFill="1" applyBorder="1" applyAlignment="1">
      <alignment horizontal="right"/>
    </xf>
    <xf numFmtId="37" fontId="3" fillId="2" borderId="44" xfId="3" applyNumberFormat="1" applyBorder="1" applyAlignment="1">
      <alignment horizontal="right"/>
    </xf>
    <xf numFmtId="37" fontId="3" fillId="7" borderId="44" xfId="3" applyNumberFormat="1" applyFill="1" applyBorder="1" applyAlignment="1">
      <alignment horizontal="right"/>
    </xf>
    <xf numFmtId="37" fontId="3" fillId="2" borderId="20" xfId="3" applyNumberFormat="1" applyBorder="1" applyAlignment="1">
      <alignment horizontal="right"/>
    </xf>
    <xf numFmtId="37" fontId="3" fillId="7" borderId="20" xfId="3" applyNumberFormat="1" applyFill="1" applyBorder="1" applyAlignment="1">
      <alignment horizontal="right"/>
    </xf>
    <xf numFmtId="37" fontId="3" fillId="6" borderId="20" xfId="3" applyNumberFormat="1" applyFill="1" applyBorder="1" applyProtection="1">
      <protection locked="0"/>
    </xf>
    <xf numFmtId="37" fontId="3" fillId="3" borderId="45" xfId="3" applyNumberFormat="1" applyFill="1" applyBorder="1" applyProtection="1"/>
    <xf numFmtId="37" fontId="3" fillId="8" borderId="20" xfId="3" applyNumberFormat="1" applyFill="1" applyBorder="1" applyProtection="1">
      <protection locked="0"/>
    </xf>
    <xf numFmtId="37" fontId="5" fillId="2" borderId="46" xfId="0" applyNumberFormat="1" applyFont="1" applyBorder="1"/>
    <xf numFmtId="2" fontId="5" fillId="3" borderId="46" xfId="0" applyNumberFormat="1" applyFont="1" applyFill="1" applyBorder="1" applyProtection="1"/>
    <xf numFmtId="37" fontId="5" fillId="2" borderId="47" xfId="0" applyNumberFormat="1" applyFont="1" applyBorder="1"/>
    <xf numFmtId="37" fontId="5" fillId="2" borderId="48" xfId="0" applyNumberFormat="1" applyFont="1" applyBorder="1"/>
    <xf numFmtId="2" fontId="5" fillId="6" borderId="48" xfId="0" applyNumberFormat="1" applyFont="1" applyFill="1" applyBorder="1" applyProtection="1">
      <protection locked="0"/>
    </xf>
    <xf numFmtId="2" fontId="5" fillId="3" borderId="48" xfId="0" applyNumberFormat="1" applyFont="1" applyFill="1" applyBorder="1" applyProtection="1"/>
    <xf numFmtId="37" fontId="5" fillId="2" borderId="49" xfId="0" applyNumberFormat="1" applyFont="1" applyBorder="1"/>
    <xf numFmtId="2" fontId="5" fillId="6" borderId="51" xfId="0" applyNumberFormat="1" applyFont="1" applyFill="1" applyBorder="1" applyAlignment="1" applyProtection="1">
      <alignment horizontal="center"/>
      <protection locked="0"/>
    </xf>
    <xf numFmtId="2" fontId="5" fillId="6" borderId="52" xfId="0" applyNumberFormat="1" applyFont="1" applyFill="1" applyBorder="1" applyAlignment="1" applyProtection="1">
      <alignment horizontal="center"/>
      <protection locked="0"/>
    </xf>
    <xf numFmtId="2" fontId="5" fillId="6" borderId="53" xfId="0" applyNumberFormat="1" applyFont="1" applyFill="1" applyBorder="1" applyAlignment="1" applyProtection="1">
      <alignment horizontal="center"/>
      <protection locked="0"/>
    </xf>
    <xf numFmtId="37" fontId="3" fillId="2" borderId="20" xfId="3" applyNumberFormat="1" applyBorder="1"/>
    <xf numFmtId="37" fontId="16" fillId="2" borderId="0" xfId="0" applyNumberFormat="1" applyFont="1" applyAlignment="1">
      <alignment horizontal="center"/>
    </xf>
    <xf numFmtId="37" fontId="5" fillId="2" borderId="51" xfId="0" applyNumberFormat="1" applyFont="1" applyBorder="1"/>
    <xf numFmtId="2" fontId="5" fillId="0" borderId="13" xfId="0" applyNumberFormat="1" applyFont="1" applyFill="1" applyBorder="1" applyAlignment="1" applyProtection="1">
      <alignment horizontal="right"/>
    </xf>
    <xf numFmtId="37" fontId="18" fillId="5" borderId="0" xfId="0" applyNumberFormat="1" applyFont="1" applyFill="1" applyAlignment="1">
      <alignment horizontal="center"/>
    </xf>
    <xf numFmtId="37" fontId="5" fillId="5" borderId="0" xfId="0" applyNumberFormat="1" applyFont="1" applyFill="1" applyAlignment="1">
      <alignment horizontal="right"/>
    </xf>
    <xf numFmtId="37" fontId="5" fillId="5" borderId="0" xfId="0" applyNumberFormat="1" applyFont="1" applyFill="1" applyAlignment="1">
      <alignment horizontal="centerContinuous"/>
    </xf>
    <xf numFmtId="37" fontId="13" fillId="5" borderId="0" xfId="0" applyNumberFormat="1" applyFont="1" applyFill="1" applyAlignment="1">
      <alignment horizontal="centerContinuous"/>
    </xf>
    <xf numFmtId="37" fontId="0" fillId="5" borderId="0" xfId="0" applyNumberFormat="1" applyFill="1" applyAlignment="1">
      <alignment horizontal="centerContinuous"/>
    </xf>
    <xf numFmtId="37" fontId="0" fillId="5" borderId="0" xfId="0" applyNumberFormat="1" applyFill="1"/>
    <xf numFmtId="37" fontId="5" fillId="5" borderId="0" xfId="0" applyNumberFormat="1" applyFont="1" applyFill="1"/>
    <xf numFmtId="37" fontId="10" fillId="5" borderId="0" xfId="0" applyNumberFormat="1" applyFont="1" applyFill="1" applyAlignment="1">
      <alignment horizontal="right"/>
    </xf>
    <xf numFmtId="37" fontId="5" fillId="5" borderId="0" xfId="0" applyNumberFormat="1" applyFont="1" applyFill="1" applyBorder="1" applyAlignment="1">
      <alignment horizontal="right"/>
    </xf>
    <xf numFmtId="14" fontId="5" fillId="5" borderId="0" xfId="0" applyNumberFormat="1" applyFont="1" applyFill="1" applyBorder="1" applyProtection="1">
      <protection locked="0"/>
    </xf>
    <xf numFmtId="1" fontId="5" fillId="3" borderId="2" xfId="0" applyNumberFormat="1" applyFont="1" applyFill="1" applyBorder="1" applyAlignment="1">
      <alignment horizontal="right"/>
    </xf>
    <xf numFmtId="37" fontId="5" fillId="5" borderId="0" xfId="0" applyNumberFormat="1" applyFont="1" applyFill="1" applyBorder="1" applyAlignment="1">
      <alignment horizontal="left" indent="2"/>
    </xf>
    <xf numFmtId="1" fontId="5" fillId="5" borderId="0" xfId="0" applyNumberFormat="1" applyFont="1" applyFill="1" applyBorder="1"/>
    <xf numFmtId="37" fontId="5" fillId="5" borderId="0" xfId="0" applyNumberFormat="1" applyFont="1" applyFill="1" applyBorder="1"/>
    <xf numFmtId="37" fontId="5" fillId="5" borderId="0" xfId="0" applyFont="1" applyFill="1"/>
    <xf numFmtId="37" fontId="5" fillId="6" borderId="54" xfId="0" applyNumberFormat="1" applyFont="1" applyFill="1" applyBorder="1" applyAlignment="1" applyProtection="1">
      <alignment horizontal="left"/>
      <protection locked="0"/>
    </xf>
    <xf numFmtId="37" fontId="5" fillId="6" borderId="55" xfId="0" applyNumberFormat="1" applyFont="1" applyFill="1" applyBorder="1" applyAlignment="1" applyProtection="1">
      <alignment horizontal="left"/>
      <protection locked="0"/>
    </xf>
    <xf numFmtId="37" fontId="5" fillId="5" borderId="0" xfId="0" applyNumberFormat="1" applyFont="1" applyFill="1" applyProtection="1"/>
    <xf numFmtId="37" fontId="5" fillId="5" borderId="0" xfId="0" applyNumberFormat="1" applyFont="1" applyFill="1" applyAlignment="1" applyProtection="1">
      <alignment horizontal="right"/>
    </xf>
    <xf numFmtId="37" fontId="0" fillId="5" borderId="0" xfId="0" applyNumberFormat="1" applyFill="1" applyProtection="1"/>
    <xf numFmtId="37" fontId="0" fillId="5" borderId="0" xfId="0" applyNumberFormat="1" applyFill="1" applyAlignment="1" applyProtection="1">
      <alignment horizontal="right"/>
    </xf>
    <xf numFmtId="37" fontId="5" fillId="5" borderId="0" xfId="0" applyNumberFormat="1" applyFont="1" applyFill="1" applyAlignment="1" applyProtection="1">
      <alignment horizontal="centerContinuous"/>
    </xf>
    <xf numFmtId="37" fontId="4" fillId="5" borderId="0" xfId="0" applyNumberFormat="1" applyFont="1" applyFill="1" applyAlignment="1" applyProtection="1">
      <alignment horizontal="center"/>
    </xf>
    <xf numFmtId="37" fontId="0" fillId="5" borderId="0" xfId="0" applyNumberFormat="1" applyFill="1" applyAlignment="1" applyProtection="1">
      <alignment horizontal="center"/>
    </xf>
    <xf numFmtId="37" fontId="5" fillId="5" borderId="0" xfId="0" applyNumberFormat="1" applyFont="1" applyFill="1" applyAlignment="1" applyProtection="1">
      <alignment horizontal="center"/>
    </xf>
    <xf numFmtId="37" fontId="5" fillId="3" borderId="28" xfId="0" applyNumberFormat="1" applyFont="1" applyFill="1" applyBorder="1" applyProtection="1"/>
    <xf numFmtId="37" fontId="5" fillId="3" borderId="56" xfId="0" applyFont="1" applyFill="1" applyBorder="1" applyProtection="1"/>
    <xf numFmtId="37" fontId="5" fillId="3" borderId="18" xfId="0" applyNumberFormat="1" applyFont="1" applyFill="1" applyBorder="1" applyProtection="1"/>
    <xf numFmtId="37" fontId="5" fillId="3" borderId="33" xfId="0" applyFont="1" applyFill="1" applyBorder="1" applyProtection="1"/>
    <xf numFmtId="37" fontId="5" fillId="5" borderId="0" xfId="0" applyNumberFormat="1" applyFont="1" applyFill="1" applyBorder="1" applyProtection="1"/>
    <xf numFmtId="37" fontId="0" fillId="3" borderId="29" xfId="0" applyNumberFormat="1" applyFill="1" applyBorder="1" applyProtection="1"/>
    <xf numFmtId="37" fontId="5" fillId="3" borderId="14" xfId="0" applyNumberFormat="1" applyFont="1" applyFill="1" applyBorder="1" applyProtection="1"/>
    <xf numFmtId="37" fontId="5" fillId="3" borderId="36" xfId="0" applyNumberFormat="1" applyFont="1" applyFill="1" applyBorder="1" applyProtection="1"/>
    <xf numFmtId="37" fontId="0" fillId="3" borderId="0" xfId="0" applyNumberFormat="1" applyFill="1"/>
    <xf numFmtId="37" fontId="5" fillId="5" borderId="0" xfId="0" applyNumberFormat="1" applyFont="1" applyFill="1" applyBorder="1" applyAlignment="1" applyProtection="1">
      <alignment horizontal="right"/>
    </xf>
    <xf numFmtId="37" fontId="5" fillId="5" borderId="0" xfId="0" applyNumberFormat="1" applyFont="1" applyFill="1" applyBorder="1" applyAlignment="1" applyProtection="1">
      <alignment horizontal="left"/>
    </xf>
    <xf numFmtId="37" fontId="5" fillId="3" borderId="14" xfId="0" applyNumberFormat="1" applyFont="1" applyFill="1" applyBorder="1" applyAlignment="1" applyProtection="1">
      <alignment horizontal="right"/>
    </xf>
    <xf numFmtId="170" fontId="0" fillId="5" borderId="0" xfId="0" applyNumberFormat="1" applyFill="1" applyProtection="1"/>
    <xf numFmtId="37" fontId="5" fillId="5" borderId="0" xfId="0" applyNumberFormat="1" applyFont="1" applyFill="1" applyAlignment="1" applyProtection="1"/>
    <xf numFmtId="14" fontId="7" fillId="5" borderId="0" xfId="0" applyNumberFormat="1" applyFont="1" applyFill="1" applyAlignment="1" applyProtection="1"/>
    <xf numFmtId="0" fontId="3" fillId="2" borderId="57" xfId="3" applyNumberFormat="1" applyFont="1" applyBorder="1"/>
    <xf numFmtId="37" fontId="18" fillId="2" borderId="0" xfId="0" applyNumberFormat="1" applyFont="1" applyAlignment="1">
      <alignment horizontal="left"/>
    </xf>
    <xf numFmtId="14" fontId="5" fillId="6" borderId="2" xfId="0" applyNumberFormat="1" applyFont="1" applyFill="1" applyBorder="1" applyProtection="1"/>
    <xf numFmtId="37" fontId="5" fillId="6" borderId="13" xfId="0" applyNumberFormat="1" applyFont="1" applyFill="1" applyBorder="1" applyAlignment="1" applyProtection="1">
      <alignment horizontal="right"/>
    </xf>
    <xf numFmtId="14" fontId="5" fillId="2" borderId="2" xfId="0" applyNumberFormat="1" applyFont="1" applyBorder="1" applyProtection="1"/>
    <xf numFmtId="37" fontId="6" fillId="2" borderId="6" xfId="0" applyNumberFormat="1" applyFont="1" applyBorder="1" applyAlignment="1">
      <alignment horizontal="center"/>
    </xf>
    <xf numFmtId="37" fontId="5" fillId="6" borderId="20" xfId="0" applyNumberFormat="1" applyFont="1" applyFill="1" applyBorder="1" applyAlignment="1" applyProtection="1">
      <alignment horizontal="center"/>
      <protection locked="0"/>
    </xf>
    <xf numFmtId="37" fontId="5" fillId="6" borderId="45" xfId="0" applyNumberFormat="1" applyFont="1" applyFill="1" applyBorder="1" applyAlignment="1" applyProtection="1">
      <alignment horizontal="center"/>
      <protection locked="0"/>
    </xf>
    <xf numFmtId="2" fontId="5" fillId="6" borderId="58" xfId="0" applyNumberFormat="1" applyFont="1" applyFill="1" applyBorder="1" applyProtection="1">
      <protection locked="0"/>
    </xf>
    <xf numFmtId="37" fontId="5" fillId="2" borderId="58" xfId="0" applyNumberFormat="1" applyFont="1" applyBorder="1"/>
    <xf numFmtId="37" fontId="5" fillId="2" borderId="59" xfId="0" applyNumberFormat="1" applyFont="1" applyBorder="1"/>
    <xf numFmtId="37" fontId="3" fillId="2" borderId="60" xfId="3" applyNumberFormat="1" applyBorder="1"/>
    <xf numFmtId="14" fontId="5" fillId="2" borderId="0" xfId="0" applyNumberFormat="1" applyFont="1" applyBorder="1" applyProtection="1"/>
    <xf numFmtId="14" fontId="5" fillId="3" borderId="0" xfId="0" applyNumberFormat="1" applyFont="1" applyFill="1" applyBorder="1" applyProtection="1"/>
    <xf numFmtId="37" fontId="19" fillId="2" borderId="0" xfId="0" applyNumberFormat="1" applyFont="1" applyAlignment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9" fontId="0" fillId="2" borderId="0" xfId="0" applyNumberFormat="1" applyAlignment="1" applyProtection="1">
      <alignment horizontal="right"/>
    </xf>
    <xf numFmtId="37" fontId="3" fillId="2" borderId="6" xfId="4" applyNumberFormat="1" applyFill="1" applyBorder="1" applyAlignment="1" applyProtection="1">
      <alignment horizontal="right"/>
    </xf>
    <xf numFmtId="0" fontId="3" fillId="2" borderId="62" xfId="3" applyNumberFormat="1" applyFont="1" applyBorder="1"/>
    <xf numFmtId="37" fontId="5" fillId="2" borderId="63" xfId="0" applyFont="1" applyBorder="1" applyProtection="1"/>
    <xf numFmtId="37" fontId="5" fillId="2" borderId="33" xfId="0" applyNumberFormat="1" applyFont="1" applyBorder="1" applyProtection="1"/>
    <xf numFmtId="37" fontId="4" fillId="2" borderId="8" xfId="0" applyNumberFormat="1" applyFont="1" applyBorder="1" applyAlignment="1">
      <alignment horizontal="left"/>
    </xf>
    <xf numFmtId="1" fontId="5" fillId="2" borderId="0" xfId="0" applyNumberFormat="1" applyFont="1" applyBorder="1" applyProtection="1"/>
    <xf numFmtId="37" fontId="5" fillId="2" borderId="63" xfId="0" applyNumberFormat="1" applyFont="1" applyBorder="1" applyAlignment="1" applyProtection="1">
      <alignment horizontal="right"/>
    </xf>
    <xf numFmtId="37" fontId="20" fillId="2" borderId="0" xfId="0" applyNumberFormat="1" applyFont="1" applyAlignment="1">
      <alignment horizontal="right"/>
    </xf>
    <xf numFmtId="37" fontId="21" fillId="2" borderId="0" xfId="0" applyNumberFormat="1" applyFont="1" applyAlignment="1">
      <alignment horizontal="right" vertical="center"/>
    </xf>
    <xf numFmtId="37" fontId="17" fillId="2" borderId="30" xfId="0" applyNumberFormat="1" applyFont="1" applyBorder="1" applyAlignment="1" applyProtection="1">
      <alignment horizontal="center"/>
    </xf>
    <xf numFmtId="37" fontId="10" fillId="2" borderId="0" xfId="0" applyNumberFormat="1" applyFont="1" applyBorder="1" applyAlignment="1">
      <alignment horizontal="center"/>
    </xf>
    <xf numFmtId="37" fontId="9" fillId="2" borderId="0" xfId="0" applyNumberFormat="1" applyFont="1" applyBorder="1" applyAlignment="1">
      <alignment horizontal="left" indent="1"/>
    </xf>
    <xf numFmtId="37" fontId="9" fillId="2" borderId="0" xfId="0" applyNumberFormat="1" applyFont="1" applyBorder="1" applyAlignment="1">
      <alignment horizontal="left" wrapText="1" indent="1"/>
    </xf>
    <xf numFmtId="37" fontId="9" fillId="2" borderId="0" xfId="0" applyNumberFormat="1" applyFont="1" applyBorder="1" applyAlignment="1">
      <alignment horizontal="center" wrapText="1"/>
    </xf>
    <xf numFmtId="37" fontId="5" fillId="2" borderId="56" xfId="0" applyNumberFormat="1" applyFont="1" applyBorder="1" applyProtection="1"/>
    <xf numFmtId="2" fontId="4" fillId="2" borderId="2" xfId="0" applyNumberFormat="1" applyFont="1" applyBorder="1" applyProtection="1"/>
    <xf numFmtId="37" fontId="5" fillId="2" borderId="32" xfId="0" applyNumberFormat="1" applyFont="1" applyBorder="1" applyAlignment="1">
      <alignment horizontal="center"/>
    </xf>
    <xf numFmtId="37" fontId="0" fillId="2" borderId="9" xfId="0" applyNumberFormat="1" applyBorder="1" applyAlignment="1" applyProtection="1">
      <alignment horizontal="center"/>
    </xf>
    <xf numFmtId="37" fontId="5" fillId="2" borderId="67" xfId="0" applyNumberFormat="1" applyFont="1" applyBorder="1" applyAlignment="1" applyProtection="1">
      <alignment horizontal="right"/>
    </xf>
    <xf numFmtId="39" fontId="5" fillId="2" borderId="19" xfId="0" applyNumberFormat="1" applyFont="1" applyBorder="1" applyProtection="1"/>
    <xf numFmtId="39" fontId="5" fillId="2" borderId="21" xfId="0" applyNumberFormat="1" applyFont="1" applyBorder="1" applyProtection="1"/>
    <xf numFmtId="37" fontId="5" fillId="2" borderId="33" xfId="0" applyNumberFormat="1" applyFont="1" applyBorder="1" applyAlignment="1" applyProtection="1">
      <alignment horizontal="right"/>
    </xf>
    <xf numFmtId="37" fontId="4" fillId="2" borderId="35" xfId="0" applyNumberFormat="1" applyFont="1" applyBorder="1" applyProtection="1"/>
    <xf numFmtId="37" fontId="17" fillId="2" borderId="30" xfId="0" applyNumberFormat="1" applyFont="1" applyBorder="1" applyProtection="1"/>
    <xf numFmtId="37" fontId="0" fillId="2" borderId="9" xfId="0" applyNumberFormat="1" applyBorder="1" applyAlignment="1" applyProtection="1"/>
    <xf numFmtId="37" fontId="0" fillId="2" borderId="0" xfId="0" applyNumberFormat="1" applyBorder="1" applyAlignment="1" applyProtection="1">
      <alignment horizontal="center"/>
    </xf>
    <xf numFmtId="37" fontId="0" fillId="2" borderId="14" xfId="0" applyNumberFormat="1" applyBorder="1" applyAlignment="1" applyProtection="1"/>
    <xf numFmtId="37" fontId="5" fillId="2" borderId="2" xfId="0" applyFont="1" applyBorder="1" applyAlignment="1">
      <alignment horizontal="right"/>
    </xf>
    <xf numFmtId="37" fontId="0" fillId="2" borderId="12" xfId="0" applyNumberFormat="1" applyBorder="1" applyAlignment="1"/>
    <xf numFmtId="37" fontId="5" fillId="2" borderId="63" xfId="0" applyNumberFormat="1" applyFont="1" applyBorder="1" applyProtection="1"/>
    <xf numFmtId="37" fontId="5" fillId="3" borderId="33" xfId="0" applyNumberFormat="1" applyFont="1" applyFill="1" applyBorder="1" applyProtection="1"/>
    <xf numFmtId="37" fontId="5" fillId="2" borderId="69" xfId="0" applyNumberFormat="1" applyFont="1" applyBorder="1" applyProtection="1"/>
    <xf numFmtId="39" fontId="5" fillId="2" borderId="18" xfId="0" applyNumberFormat="1" applyFont="1" applyBorder="1" applyProtection="1"/>
    <xf numFmtId="39" fontId="5" fillId="2" borderId="69" xfId="0" applyNumberFormat="1" applyFont="1" applyBorder="1" applyProtection="1"/>
    <xf numFmtId="37" fontId="5" fillId="2" borderId="71" xfId="0" applyNumberFormat="1" applyFont="1" applyBorder="1" applyAlignment="1" applyProtection="1">
      <alignment horizontal="right"/>
    </xf>
    <xf numFmtId="37" fontId="0" fillId="2" borderId="71" xfId="0" applyNumberFormat="1" applyBorder="1" applyAlignment="1" applyProtection="1"/>
    <xf numFmtId="37" fontId="5" fillId="2" borderId="28" xfId="0" applyNumberFormat="1" applyFont="1" applyBorder="1" applyAlignment="1" applyProtection="1">
      <alignment horizontal="left"/>
    </xf>
    <xf numFmtId="37" fontId="0" fillId="2" borderId="8" xfId="0" applyNumberFormat="1" applyBorder="1" applyAlignment="1" applyProtection="1"/>
    <xf numFmtId="37" fontId="0" fillId="2" borderId="10" xfId="0" applyNumberFormat="1" applyBorder="1" applyProtection="1"/>
    <xf numFmtId="37" fontId="17" fillId="2" borderId="12" xfId="0" applyNumberFormat="1" applyFont="1" applyBorder="1" applyAlignment="1" applyProtection="1">
      <alignment horizontal="center"/>
    </xf>
    <xf numFmtId="37" fontId="17" fillId="2" borderId="0" xfId="0" applyNumberFormat="1" applyFont="1" applyAlignment="1" applyProtection="1">
      <alignment horizontal="center"/>
    </xf>
    <xf numFmtId="2" fontId="5" fillId="6" borderId="19" xfId="0" applyNumberFormat="1" applyFont="1" applyFill="1" applyBorder="1" applyAlignment="1" applyProtection="1">
      <alignment horizontal="center"/>
      <protection locked="0"/>
    </xf>
    <xf numFmtId="37" fontId="0" fillId="2" borderId="28" xfId="0" applyNumberFormat="1" applyBorder="1" applyProtection="1"/>
    <xf numFmtId="37" fontId="0" fillId="2" borderId="1" xfId="0" applyNumberFormat="1" applyBorder="1" applyAlignment="1" applyProtection="1">
      <alignment horizontal="left"/>
    </xf>
    <xf numFmtId="37" fontId="17" fillId="2" borderId="11" xfId="0" applyNumberFormat="1" applyFont="1" applyBorder="1" applyAlignment="1" applyProtection="1">
      <alignment horizontal="center"/>
    </xf>
    <xf numFmtId="2" fontId="5" fillId="6" borderId="34" xfId="0" applyNumberFormat="1" applyFont="1" applyFill="1" applyBorder="1" applyAlignment="1" applyProtection="1">
      <alignment horizontal="center"/>
      <protection locked="0"/>
    </xf>
    <xf numFmtId="37" fontId="24" fillId="2" borderId="6" xfId="0" applyNumberFormat="1" applyFont="1" applyBorder="1" applyAlignment="1">
      <alignment horizontal="center"/>
    </xf>
    <xf numFmtId="37" fontId="24" fillId="2" borderId="17" xfId="0" applyNumberFormat="1" applyFont="1" applyBorder="1" applyAlignment="1">
      <alignment horizontal="center"/>
    </xf>
    <xf numFmtId="37" fontId="24" fillId="2" borderId="0" xfId="0" applyNumberFormat="1" applyFont="1" applyBorder="1" applyAlignment="1" applyProtection="1">
      <alignment horizontal="center"/>
    </xf>
    <xf numFmtId="37" fontId="24" fillId="2" borderId="2" xfId="0" applyNumberFormat="1" applyFont="1" applyBorder="1" applyAlignment="1" applyProtection="1">
      <alignment horizontal="center"/>
    </xf>
    <xf numFmtId="37" fontId="24" fillId="2" borderId="8" xfId="0" applyNumberFormat="1" applyFont="1" applyBorder="1" applyAlignment="1">
      <alignment horizontal="center"/>
    </xf>
    <xf numFmtId="37" fontId="25" fillId="2" borderId="31" xfId="0" applyNumberFormat="1" applyFont="1" applyBorder="1" applyAlignment="1" applyProtection="1">
      <alignment horizontal="center"/>
    </xf>
    <xf numFmtId="37" fontId="24" fillId="2" borderId="0" xfId="0" applyNumberFormat="1" applyFont="1" applyAlignment="1" applyProtection="1">
      <alignment horizontal="center"/>
    </xf>
    <xf numFmtId="37" fontId="24" fillId="2" borderId="31" xfId="0" applyNumberFormat="1" applyFont="1" applyBorder="1" applyProtection="1"/>
    <xf numFmtId="37" fontId="24" fillId="2" borderId="31" xfId="0" applyNumberFormat="1" applyFont="1" applyBorder="1" applyAlignment="1" applyProtection="1">
      <alignment horizontal="center"/>
    </xf>
    <xf numFmtId="37" fontId="24" fillId="2" borderId="32" xfId="0" applyNumberFormat="1" applyFont="1" applyBorder="1" applyProtection="1"/>
    <xf numFmtId="37" fontId="24" fillId="2" borderId="32" xfId="0" applyNumberFormat="1" applyFont="1" applyBorder="1" applyAlignment="1" applyProtection="1">
      <alignment horizontal="center"/>
    </xf>
    <xf numFmtId="37" fontId="24" fillId="2" borderId="32" xfId="0" applyNumberFormat="1" applyFont="1" applyBorder="1" applyAlignment="1" applyProtection="1">
      <alignment horizontal="right"/>
    </xf>
    <xf numFmtId="37" fontId="25" fillId="2" borderId="30" xfId="0" applyNumberFormat="1" applyFont="1" applyBorder="1" applyAlignment="1" applyProtection="1">
      <alignment horizontal="center"/>
    </xf>
    <xf numFmtId="37" fontId="24" fillId="2" borderId="6" xfId="0" applyNumberFormat="1" applyFont="1" applyBorder="1" applyAlignment="1" applyProtection="1"/>
    <xf numFmtId="37" fontId="24" fillId="2" borderId="17" xfId="0" applyNumberFormat="1" applyFont="1" applyBorder="1" applyAlignment="1" applyProtection="1"/>
    <xf numFmtId="37" fontId="24" fillId="2" borderId="31" xfId="0" applyNumberFormat="1" applyFont="1" applyBorder="1" applyAlignment="1" applyProtection="1"/>
    <xf numFmtId="37" fontId="25" fillId="2" borderId="9" xfId="0" applyNumberFormat="1" applyFont="1" applyBorder="1" applyAlignment="1" applyProtection="1">
      <alignment horizontal="centerContinuous"/>
    </xf>
    <xf numFmtId="37" fontId="25" fillId="2" borderId="6" xfId="0" applyNumberFormat="1" applyFont="1" applyBorder="1" applyAlignment="1" applyProtection="1">
      <alignment horizontal="center"/>
    </xf>
    <xf numFmtId="37" fontId="16" fillId="2" borderId="0" xfId="0" applyNumberFormat="1" applyFont="1" applyBorder="1" applyAlignment="1" applyProtection="1">
      <alignment horizontal="center"/>
    </xf>
    <xf numFmtId="37" fontId="25" fillId="2" borderId="0" xfId="0" applyNumberFormat="1" applyFont="1" applyAlignment="1" applyProtection="1">
      <alignment horizontal="center"/>
    </xf>
    <xf numFmtId="37" fontId="16" fillId="2" borderId="6" xfId="0" applyNumberFormat="1" applyFont="1" applyBorder="1" applyAlignment="1" applyProtection="1"/>
    <xf numFmtId="37" fontId="16" fillId="2" borderId="17" xfId="0" applyNumberFormat="1" applyFont="1" applyBorder="1" applyAlignment="1" applyProtection="1"/>
    <xf numFmtId="37" fontId="16" fillId="2" borderId="0" xfId="0" applyNumberFormat="1" applyFont="1" applyAlignment="1" applyProtection="1">
      <alignment horizontal="center"/>
    </xf>
    <xf numFmtId="37" fontId="16" fillId="2" borderId="0" xfId="0" applyNumberFormat="1" applyFont="1" applyProtection="1"/>
    <xf numFmtId="2" fontId="26" fillId="0" borderId="15" xfId="0" applyNumberFormat="1" applyFont="1" applyFill="1" applyBorder="1" applyAlignment="1" applyProtection="1">
      <alignment horizontal="center"/>
    </xf>
    <xf numFmtId="39" fontId="26" fillId="2" borderId="8" xfId="0" applyNumberFormat="1" applyFont="1" applyBorder="1" applyAlignment="1" applyProtection="1">
      <alignment horizontal="right"/>
    </xf>
    <xf numFmtId="37" fontId="5" fillId="2" borderId="11" xfId="0" applyNumberFormat="1" applyFont="1" applyBorder="1" applyProtection="1"/>
    <xf numFmtId="39" fontId="22" fillId="2" borderId="15" xfId="0" applyNumberFormat="1" applyFont="1" applyBorder="1" applyAlignment="1" applyProtection="1">
      <alignment horizontal="right"/>
    </xf>
    <xf numFmtId="37" fontId="13" fillId="2" borderId="14" xfId="0" applyNumberFormat="1" applyFont="1" applyBorder="1" applyAlignment="1" applyProtection="1"/>
    <xf numFmtId="0" fontId="27" fillId="2" borderId="72" xfId="3" applyNumberFormat="1" applyFont="1" applyBorder="1" applyAlignment="1">
      <alignment horizontal="center"/>
    </xf>
    <xf numFmtId="0" fontId="3" fillId="2" borderId="73" xfId="3" applyNumberFormat="1" applyFont="1" applyBorder="1" applyAlignment="1">
      <alignment horizontal="left"/>
    </xf>
    <xf numFmtId="0" fontId="24" fillId="2" borderId="57" xfId="3" applyNumberFormat="1" applyFont="1" applyBorder="1" applyAlignment="1">
      <alignment horizontal="right"/>
    </xf>
    <xf numFmtId="37" fontId="3" fillId="0" borderId="20" xfId="3" applyNumberFormat="1" applyFill="1" applyBorder="1" applyProtection="1"/>
    <xf numFmtId="0" fontId="3" fillId="2" borderId="57" xfId="3" applyNumberFormat="1" applyBorder="1" applyAlignment="1" applyProtection="1">
      <alignment horizontal="left" indent="1"/>
      <protection locked="0"/>
    </xf>
    <xf numFmtId="0" fontId="3" fillId="2" borderId="57" xfId="3" applyNumberFormat="1" applyFont="1" applyBorder="1" applyAlignment="1">
      <alignment horizontal="left" indent="1"/>
    </xf>
    <xf numFmtId="0" fontId="3" fillId="2" borderId="57" xfId="3" applyNumberFormat="1" applyFont="1" applyBorder="1" applyAlignment="1" applyProtection="1">
      <alignment horizontal="left" indent="1"/>
      <protection locked="0"/>
    </xf>
    <xf numFmtId="0" fontId="3" fillId="2" borderId="57" xfId="3" applyNumberFormat="1" applyBorder="1" applyAlignment="1" applyProtection="1">
      <alignment horizontal="left" indent="1"/>
    </xf>
    <xf numFmtId="0" fontId="3" fillId="2" borderId="57" xfId="3" applyNumberFormat="1" applyBorder="1" applyAlignment="1">
      <alignment horizontal="left" indent="1"/>
    </xf>
    <xf numFmtId="0" fontId="3" fillId="2" borderId="42" xfId="3" applyNumberFormat="1" applyFont="1" applyBorder="1" applyAlignment="1" applyProtection="1">
      <alignment horizontal="left" indent="1"/>
      <protection locked="0"/>
    </xf>
    <xf numFmtId="0" fontId="24" fillId="2" borderId="42" xfId="3" applyNumberFormat="1" applyFont="1" applyBorder="1" applyAlignment="1">
      <alignment horizontal="right"/>
    </xf>
    <xf numFmtId="37" fontId="3" fillId="0" borderId="74" xfId="3" applyNumberFormat="1" applyFont="1" applyFill="1" applyBorder="1" applyProtection="1"/>
    <xf numFmtId="37" fontId="3" fillId="2" borderId="7" xfId="3" applyNumberFormat="1" applyBorder="1" applyAlignment="1">
      <alignment horizontal="center"/>
    </xf>
    <xf numFmtId="0" fontId="20" fillId="2" borderId="75" xfId="3" applyNumberFormat="1" applyFont="1" applyBorder="1"/>
    <xf numFmtId="37" fontId="1" fillId="2" borderId="0" xfId="3" applyNumberFormat="1" applyFont="1" applyAlignment="1">
      <alignment horizontal="center"/>
    </xf>
    <xf numFmtId="37" fontId="10" fillId="2" borderId="29" xfId="0" applyFont="1" applyBorder="1" applyProtection="1"/>
    <xf numFmtId="0" fontId="3" fillId="2" borderId="7" xfId="3" applyNumberFormat="1" applyFont="1" applyBorder="1" applyAlignment="1">
      <alignment horizontal="center" vertical="top"/>
    </xf>
    <xf numFmtId="1" fontId="5" fillId="2" borderId="0" xfId="0" applyNumberFormat="1" applyFont="1" applyBorder="1" applyAlignment="1">
      <alignment horizontal="right"/>
    </xf>
    <xf numFmtId="167" fontId="3" fillId="0" borderId="0" xfId="3" applyNumberFormat="1" applyFill="1" applyBorder="1" applyProtection="1"/>
    <xf numFmtId="0" fontId="0" fillId="2" borderId="0" xfId="0" applyNumberFormat="1" applyBorder="1" applyAlignment="1">
      <alignment horizontal="center"/>
    </xf>
    <xf numFmtId="44" fontId="0" fillId="2" borderId="0" xfId="1" applyFont="1" applyFill="1" applyBorder="1" applyAlignment="1">
      <alignment horizontal="center"/>
    </xf>
    <xf numFmtId="37" fontId="13" fillId="2" borderId="9" xfId="0" applyNumberFormat="1" applyFont="1" applyBorder="1" applyAlignment="1">
      <alignment horizontal="center"/>
    </xf>
    <xf numFmtId="37" fontId="5" fillId="0" borderId="0" xfId="0" applyNumberFormat="1" applyFont="1" applyFill="1" applyBorder="1" applyAlignment="1"/>
    <xf numFmtId="169" fontId="0" fillId="2" borderId="0" xfId="0" applyNumberFormat="1" applyAlignment="1">
      <alignment horizontal="right"/>
    </xf>
    <xf numFmtId="174" fontId="10" fillId="2" borderId="0" xfId="0" applyNumberFormat="1" applyFont="1"/>
    <xf numFmtId="169" fontId="3" fillId="0" borderId="0" xfId="3" applyNumberFormat="1" applyFill="1" applyBorder="1" applyProtection="1"/>
    <xf numFmtId="9" fontId="3" fillId="0" borderId="0" xfId="3" applyNumberFormat="1" applyFill="1" applyBorder="1" applyProtection="1"/>
    <xf numFmtId="9" fontId="0" fillId="9" borderId="0" xfId="0" applyNumberFormat="1" applyFill="1"/>
    <xf numFmtId="37" fontId="0" fillId="6" borderId="20" xfId="0" applyNumberFormat="1" applyFill="1" applyBorder="1" applyProtection="1">
      <protection locked="0"/>
    </xf>
    <xf numFmtId="37" fontId="0" fillId="6" borderId="45" xfId="0" applyNumberFormat="1" applyFill="1" applyBorder="1" applyProtection="1">
      <protection locked="0"/>
    </xf>
    <xf numFmtId="37" fontId="0" fillId="2" borderId="24" xfId="0" applyNumberFormat="1" applyBorder="1"/>
    <xf numFmtId="37" fontId="0" fillId="2" borderId="0" xfId="0" applyNumberFormat="1" applyBorder="1"/>
    <xf numFmtId="37" fontId="0" fillId="2" borderId="24" xfId="0" applyNumberFormat="1" applyBorder="1" applyAlignment="1">
      <alignment horizontal="right"/>
    </xf>
    <xf numFmtId="37" fontId="3" fillId="10" borderId="25" xfId="5" applyNumberFormat="1" applyFill="1" applyBorder="1"/>
    <xf numFmtId="0" fontId="3" fillId="2" borderId="25" xfId="5" applyNumberFormat="1" applyFont="1" applyBorder="1"/>
    <xf numFmtId="37" fontId="1" fillId="10" borderId="25" xfId="5" applyNumberFormat="1" applyFont="1" applyFill="1" applyBorder="1"/>
    <xf numFmtId="167" fontId="3" fillId="10" borderId="18" xfId="5" applyNumberFormat="1" applyFill="1" applyBorder="1"/>
    <xf numFmtId="169" fontId="15" fillId="0" borderId="18" xfId="5" applyNumberFormat="1" applyFont="1" applyFill="1" applyBorder="1" applyAlignment="1">
      <alignment horizontal="right"/>
    </xf>
    <xf numFmtId="0" fontId="15" fillId="2" borderId="0" xfId="5" applyNumberFormat="1" applyFont="1"/>
    <xf numFmtId="0" fontId="3" fillId="10" borderId="18" xfId="5" applyNumberFormat="1" applyFont="1" applyFill="1" applyBorder="1" applyAlignment="1">
      <alignment horizontal="right"/>
    </xf>
    <xf numFmtId="37" fontId="3" fillId="0" borderId="25" xfId="5" applyNumberFormat="1" applyFont="1" applyFill="1" applyBorder="1"/>
    <xf numFmtId="37" fontId="3" fillId="0" borderId="18" xfId="5" applyNumberFormat="1" applyFont="1" applyFill="1" applyBorder="1"/>
    <xf numFmtId="37" fontId="3" fillId="0" borderId="38" xfId="5" applyNumberFormat="1" applyFont="1" applyFill="1" applyBorder="1"/>
    <xf numFmtId="0" fontId="3" fillId="10" borderId="8" xfId="5" applyNumberFormat="1" applyFont="1" applyFill="1" applyBorder="1"/>
    <xf numFmtId="37" fontId="3" fillId="10" borderId="8" xfId="5" applyNumberFormat="1" applyFill="1" applyBorder="1"/>
    <xf numFmtId="37" fontId="3" fillId="10" borderId="10" xfId="5" applyNumberFormat="1" applyFill="1" applyBorder="1"/>
    <xf numFmtId="0" fontId="3" fillId="10" borderId="18" xfId="5" applyNumberFormat="1" applyFill="1" applyBorder="1"/>
    <xf numFmtId="167" fontId="3" fillId="2" borderId="28" xfId="5" applyNumberFormat="1" applyFont="1" applyBorder="1" applyAlignment="1">
      <alignment horizontal="right"/>
    </xf>
    <xf numFmtId="0" fontId="3" fillId="2" borderId="38" xfId="5" applyNumberFormat="1" applyFont="1" applyBorder="1"/>
    <xf numFmtId="37" fontId="15" fillId="2" borderId="38" xfId="5" applyNumberFormat="1" applyFont="1" applyBorder="1"/>
    <xf numFmtId="167" fontId="15" fillId="11" borderId="18" xfId="5" applyNumberFormat="1" applyFont="1" applyFill="1" applyBorder="1" applyAlignment="1">
      <alignment horizontal="left"/>
    </xf>
    <xf numFmtId="37" fontId="1" fillId="11" borderId="18" xfId="5" applyNumberFormat="1" applyFont="1" applyFill="1" applyBorder="1" applyAlignment="1">
      <alignment horizontal="left"/>
    </xf>
    <xf numFmtId="37" fontId="1" fillId="11" borderId="38" xfId="5" applyNumberFormat="1" applyFont="1" applyFill="1" applyBorder="1" applyAlignment="1">
      <alignment horizontal="left"/>
    </xf>
    <xf numFmtId="37" fontId="3" fillId="11" borderId="83" xfId="5" applyNumberFormat="1" applyFill="1" applyBorder="1"/>
    <xf numFmtId="37" fontId="3" fillId="2" borderId="17" xfId="5" applyNumberFormat="1" applyBorder="1"/>
    <xf numFmtId="37" fontId="1" fillId="2" borderId="0" xfId="5" applyNumberFormat="1" applyFont="1" applyAlignment="1">
      <alignment horizontal="centerContinuous"/>
    </xf>
    <xf numFmtId="37" fontId="14" fillId="2" borderId="0" xfId="0" applyNumberFormat="1" applyFont="1"/>
    <xf numFmtId="37" fontId="32" fillId="2" borderId="0" xfId="0" applyNumberFormat="1" applyFont="1"/>
    <xf numFmtId="37" fontId="33" fillId="2" borderId="0" xfId="0" applyNumberFormat="1" applyFont="1"/>
    <xf numFmtId="0" fontId="35" fillId="2" borderId="0" xfId="5" applyNumberFormat="1" applyFont="1" applyAlignment="1">
      <alignment horizontal="centerContinuous"/>
    </xf>
    <xf numFmtId="37" fontId="1" fillId="2" borderId="0" xfId="5" applyNumberFormat="1" applyFont="1" applyAlignment="1">
      <alignment horizontal="center"/>
    </xf>
    <xf numFmtId="0" fontId="35" fillId="2" borderId="0" xfId="5" applyNumberFormat="1" applyFont="1" applyAlignment="1">
      <alignment horizontal="center"/>
    </xf>
    <xf numFmtId="0" fontId="3" fillId="2" borderId="0" xfId="5" applyNumberFormat="1" applyAlignment="1">
      <alignment horizontal="center"/>
    </xf>
    <xf numFmtId="37" fontId="35" fillId="11" borderId="38" xfId="5" applyNumberFormat="1" applyFont="1" applyFill="1" applyBorder="1" applyAlignment="1">
      <alignment horizontal="left"/>
    </xf>
    <xf numFmtId="0" fontId="14" fillId="2" borderId="18" xfId="5" applyNumberFormat="1" applyFont="1" applyBorder="1"/>
    <xf numFmtId="37" fontId="15" fillId="2" borderId="0" xfId="5" applyNumberFormat="1" applyFont="1" applyBorder="1"/>
    <xf numFmtId="37" fontId="35" fillId="0" borderId="0" xfId="5" applyNumberFormat="1" applyFont="1" applyFill="1" applyBorder="1" applyAlignment="1">
      <alignment horizontal="left"/>
    </xf>
    <xf numFmtId="37" fontId="24" fillId="2" borderId="10" xfId="0" applyNumberFormat="1" applyFont="1" applyBorder="1" applyAlignment="1">
      <alignment horizontal="center"/>
    </xf>
    <xf numFmtId="37" fontId="24" fillId="2" borderId="12" xfId="0" applyNumberFormat="1" applyFont="1" applyBorder="1" applyAlignment="1">
      <alignment horizontal="center"/>
    </xf>
    <xf numFmtId="37" fontId="13" fillId="2" borderId="0" xfId="0" applyNumberFormat="1" applyFont="1" applyBorder="1" applyAlignment="1">
      <alignment horizontal="center"/>
    </xf>
    <xf numFmtId="37" fontId="24" fillId="2" borderId="11" xfId="0" applyNumberFormat="1" applyFont="1" applyBorder="1" applyAlignment="1">
      <alignment horizontal="center"/>
    </xf>
    <xf numFmtId="37" fontId="0" fillId="2" borderId="0" xfId="0" applyNumberFormat="1" applyBorder="1" applyAlignment="1">
      <alignment horizontal="center"/>
    </xf>
    <xf numFmtId="37" fontId="5" fillId="2" borderId="85" xfId="0" applyNumberFormat="1" applyFont="1" applyBorder="1" applyAlignment="1">
      <alignment horizontal="right" vertical="top"/>
    </xf>
    <xf numFmtId="37" fontId="19" fillId="2" borderId="0" xfId="0" applyNumberFormat="1" applyFont="1" applyBorder="1" applyAlignment="1">
      <alignment horizontal="center" vertical="top"/>
    </xf>
    <xf numFmtId="37" fontId="5" fillId="2" borderId="86" xfId="0" applyNumberFormat="1" applyFont="1" applyBorder="1" applyAlignment="1">
      <alignment horizontal="right" vertical="top"/>
    </xf>
    <xf numFmtId="37" fontId="14" fillId="2" borderId="8" xfId="0" applyNumberFormat="1" applyFont="1" applyBorder="1" applyAlignment="1">
      <alignment horizontal="center"/>
    </xf>
    <xf numFmtId="37" fontId="24" fillId="2" borderId="30" xfId="0" applyNumberFormat="1" applyFont="1" applyBorder="1" applyAlignment="1">
      <alignment horizontal="center"/>
    </xf>
    <xf numFmtId="37" fontId="24" fillId="2" borderId="31" xfId="0" applyNumberFormat="1" applyFont="1" applyBorder="1" applyAlignment="1">
      <alignment horizontal="center"/>
    </xf>
    <xf numFmtId="37" fontId="25" fillId="2" borderId="32" xfId="0" applyNumberFormat="1" applyFont="1" applyBorder="1" applyAlignment="1">
      <alignment horizontal="center"/>
    </xf>
    <xf numFmtId="37" fontId="34" fillId="2" borderId="2" xfId="0" applyNumberFormat="1" applyFont="1" applyBorder="1" applyAlignment="1">
      <alignment horizontal="center" vertical="center"/>
    </xf>
    <xf numFmtId="0" fontId="34" fillId="2" borderId="32" xfId="0" applyNumberFormat="1" applyFont="1" applyBorder="1" applyAlignment="1">
      <alignment horizontal="center"/>
    </xf>
    <xf numFmtId="37" fontId="10" fillId="2" borderId="87" xfId="0" applyNumberFormat="1" applyFont="1" applyBorder="1" applyAlignment="1" applyProtection="1">
      <alignment horizontal="center"/>
    </xf>
    <xf numFmtId="37" fontId="25" fillId="2" borderId="8" xfId="0" applyNumberFormat="1" applyFont="1" applyBorder="1" applyAlignment="1">
      <alignment horizontal="left"/>
    </xf>
    <xf numFmtId="37" fontId="24" fillId="2" borderId="6" xfId="0" applyNumberFormat="1" applyFont="1" applyBorder="1" applyAlignment="1">
      <alignment horizontal="center" vertical="center"/>
    </xf>
    <xf numFmtId="37" fontId="28" fillId="2" borderId="12" xfId="0" applyNumberFormat="1" applyFont="1" applyBorder="1" applyAlignment="1">
      <alignment horizontal="center" vertical="center"/>
    </xf>
    <xf numFmtId="37" fontId="10" fillId="2" borderId="88" xfId="0" applyNumberFormat="1" applyFont="1" applyBorder="1" applyAlignment="1" applyProtection="1">
      <alignment horizontal="center"/>
    </xf>
    <xf numFmtId="37" fontId="10" fillId="2" borderId="89" xfId="0" applyNumberFormat="1" applyFont="1" applyBorder="1" applyAlignment="1" applyProtection="1">
      <alignment horizontal="center"/>
    </xf>
    <xf numFmtId="37" fontId="5" fillId="2" borderId="86" xfId="0" applyNumberFormat="1" applyFont="1" applyBorder="1" applyAlignment="1" applyProtection="1">
      <alignment vertical="top"/>
    </xf>
    <xf numFmtId="0" fontId="10" fillId="2" borderId="87" xfId="0" applyNumberFormat="1" applyFont="1" applyBorder="1" applyAlignment="1" applyProtection="1">
      <alignment horizontal="center"/>
    </xf>
    <xf numFmtId="0" fontId="10" fillId="2" borderId="88" xfId="0" applyNumberFormat="1" applyFont="1" applyBorder="1" applyAlignment="1" applyProtection="1">
      <alignment horizontal="center"/>
    </xf>
    <xf numFmtId="0" fontId="10" fillId="2" borderId="89" xfId="0" applyNumberFormat="1" applyFont="1" applyBorder="1" applyAlignment="1" applyProtection="1">
      <alignment horizontal="center"/>
    </xf>
    <xf numFmtId="37" fontId="4" fillId="2" borderId="0" xfId="0" applyNumberFormat="1" applyFont="1" applyAlignment="1" applyProtection="1">
      <alignment horizontal="left"/>
    </xf>
    <xf numFmtId="37" fontId="38" fillId="2" borderId="0" xfId="0" applyNumberFormat="1" applyFont="1" applyProtection="1"/>
    <xf numFmtId="37" fontId="10" fillId="2" borderId="14" xfId="0" applyNumberFormat="1" applyFont="1" applyBorder="1" applyProtection="1"/>
    <xf numFmtId="37" fontId="10" fillId="2" borderId="14" xfId="0" applyNumberFormat="1" applyFont="1" applyBorder="1" applyAlignment="1" applyProtection="1">
      <alignment vertical="top"/>
    </xf>
    <xf numFmtId="37" fontId="10" fillId="2" borderId="36" xfId="0" applyNumberFormat="1" applyFont="1" applyBorder="1" applyProtection="1"/>
    <xf numFmtId="9" fontId="3" fillId="6" borderId="77" xfId="3" applyNumberFormat="1" applyFont="1" applyFill="1" applyBorder="1" applyAlignment="1" applyProtection="1">
      <alignment horizontal="center"/>
      <protection locked="0"/>
    </xf>
    <xf numFmtId="0" fontId="5" fillId="2" borderId="0" xfId="3" applyNumberFormat="1" applyFont="1" applyBorder="1" applyAlignment="1">
      <alignment horizontal="center"/>
    </xf>
    <xf numFmtId="0" fontId="14" fillId="8" borderId="20" xfId="0" applyNumberFormat="1" applyFont="1" applyFill="1" applyBorder="1" applyAlignment="1" applyProtection="1">
      <alignment horizontal="center" vertical="top"/>
      <protection locked="0"/>
    </xf>
    <xf numFmtId="0" fontId="14" fillId="8" borderId="45" xfId="0" applyNumberFormat="1" applyFont="1" applyFill="1" applyBorder="1" applyAlignment="1" applyProtection="1">
      <alignment horizontal="center" vertical="top"/>
      <protection locked="0"/>
    </xf>
    <xf numFmtId="37" fontId="16" fillId="2" borderId="0" xfId="0" applyNumberFormat="1" applyFont="1" applyBorder="1" applyAlignment="1">
      <alignment horizontal="center"/>
    </xf>
    <xf numFmtId="37" fontId="4" fillId="2" borderId="0" xfId="0" applyNumberFormat="1" applyFont="1" applyBorder="1" applyProtection="1"/>
    <xf numFmtId="0" fontId="39" fillId="2" borderId="0" xfId="0" applyNumberFormat="1" applyFont="1" applyBorder="1" applyAlignment="1">
      <alignment horizontal="center" vertical="center"/>
    </xf>
    <xf numFmtId="37" fontId="5" fillId="2" borderId="0" xfId="0" applyNumberFormat="1" applyFont="1" applyBorder="1" applyAlignment="1">
      <alignment horizontal="right" vertical="top"/>
    </xf>
    <xf numFmtId="37" fontId="10" fillId="2" borderId="0" xfId="0" applyNumberFormat="1" applyFont="1" applyBorder="1" applyAlignment="1" applyProtection="1">
      <alignment horizontal="center"/>
    </xf>
    <xf numFmtId="37" fontId="10" fillId="2" borderId="0" xfId="0" applyNumberFormat="1" applyFont="1" applyBorder="1" applyProtection="1"/>
    <xf numFmtId="37" fontId="5" fillId="2" borderId="0" xfId="0" applyNumberFormat="1" applyFont="1" applyBorder="1" applyAlignment="1" applyProtection="1">
      <alignment vertical="top"/>
    </xf>
    <xf numFmtId="37" fontId="10" fillId="2" borderId="0" xfId="0" applyNumberFormat="1" applyFont="1" applyBorder="1" applyAlignment="1" applyProtection="1">
      <alignment vertical="top"/>
    </xf>
    <xf numFmtId="0" fontId="10" fillId="2" borderId="0" xfId="0" applyNumberFormat="1" applyFont="1" applyBorder="1" applyAlignment="1" applyProtection="1">
      <alignment horizontal="center"/>
    </xf>
    <xf numFmtId="0" fontId="24" fillId="2" borderId="93" xfId="0" applyNumberFormat="1" applyFont="1" applyBorder="1" applyAlignment="1">
      <alignment horizontal="center" vertical="center"/>
    </xf>
    <xf numFmtId="0" fontId="24" fillId="2" borderId="94" xfId="0" applyNumberFormat="1" applyFont="1" applyBorder="1" applyAlignment="1">
      <alignment horizontal="center" vertical="center"/>
    </xf>
    <xf numFmtId="10" fontId="5" fillId="2" borderId="0" xfId="0" applyNumberFormat="1" applyFont="1" applyBorder="1" applyAlignment="1">
      <alignment horizontal="right" indent="1"/>
    </xf>
    <xf numFmtId="37" fontId="40" fillId="2" borderId="0" xfId="0" applyNumberFormat="1" applyFont="1" applyBorder="1" applyAlignment="1">
      <alignment horizontal="center"/>
    </xf>
    <xf numFmtId="37" fontId="42" fillId="2" borderId="0" xfId="0" applyNumberFormat="1" applyFont="1" applyAlignment="1">
      <alignment horizontal="center"/>
    </xf>
    <xf numFmtId="37" fontId="15" fillId="2" borderId="95" xfId="0" applyNumberFormat="1" applyFont="1" applyBorder="1" applyAlignment="1">
      <alignment horizontal="center"/>
    </xf>
    <xf numFmtId="0" fontId="15" fillId="2" borderId="95" xfId="0" applyNumberFormat="1" applyFont="1" applyBorder="1" applyAlignment="1">
      <alignment horizontal="center" wrapText="1"/>
    </xf>
    <xf numFmtId="37" fontId="15" fillId="2" borderId="95" xfId="0" applyNumberFormat="1" applyFont="1" applyBorder="1" applyAlignment="1">
      <alignment horizontal="center" wrapText="1"/>
    </xf>
    <xf numFmtId="37" fontId="0" fillId="12" borderId="96" xfId="0" applyNumberFormat="1" applyFill="1" applyBorder="1" applyProtection="1">
      <protection locked="0"/>
    </xf>
    <xf numFmtId="37" fontId="0" fillId="12" borderId="85" xfId="0" applyNumberFormat="1" applyFill="1" applyBorder="1" applyProtection="1">
      <protection locked="0"/>
    </xf>
    <xf numFmtId="37" fontId="0" fillId="12" borderId="91" xfId="0" applyNumberFormat="1" applyFill="1" applyBorder="1" applyProtection="1">
      <protection locked="0"/>
    </xf>
    <xf numFmtId="5" fontId="0" fillId="2" borderId="85" xfId="0" applyNumberFormat="1" applyBorder="1"/>
    <xf numFmtId="37" fontId="0" fillId="0" borderId="85" xfId="0" applyNumberFormat="1" applyFill="1" applyBorder="1" applyProtection="1"/>
    <xf numFmtId="37" fontId="0" fillId="0" borderId="97" xfId="0" applyNumberFormat="1" applyFill="1" applyBorder="1" applyProtection="1"/>
    <xf numFmtId="37" fontId="15" fillId="2" borderId="0" xfId="0" applyNumberFormat="1" applyFont="1" applyBorder="1" applyAlignment="1">
      <alignment horizontal="center" wrapText="1"/>
    </xf>
    <xf numFmtId="5" fontId="0" fillId="2" borderId="97" xfId="0" applyNumberFormat="1" applyBorder="1"/>
    <xf numFmtId="168" fontId="0" fillId="2" borderId="97" xfId="0" applyNumberFormat="1" applyBorder="1"/>
    <xf numFmtId="168" fontId="0" fillId="2" borderId="85" xfId="0" applyNumberFormat="1" applyBorder="1"/>
    <xf numFmtId="37" fontId="43" fillId="2" borderId="0" xfId="0" applyNumberFormat="1" applyFont="1" applyAlignment="1">
      <alignment horizontal="center"/>
    </xf>
    <xf numFmtId="37" fontId="44" fillId="2" borderId="0" xfId="0" applyNumberFormat="1" applyFont="1" applyAlignment="1">
      <alignment horizontal="center"/>
    </xf>
    <xf numFmtId="37" fontId="45" fillId="2" borderId="95" xfId="0" applyNumberFormat="1" applyFont="1" applyBorder="1" applyAlignment="1">
      <alignment horizontal="center" wrapText="1"/>
    </xf>
    <xf numFmtId="37" fontId="0" fillId="2" borderId="40" xfId="0" applyNumberFormat="1" applyBorder="1"/>
    <xf numFmtId="5" fontId="8" fillId="2" borderId="14" xfId="0" applyNumberFormat="1" applyFont="1" applyBorder="1"/>
    <xf numFmtId="37" fontId="3" fillId="2" borderId="0" xfId="0" applyNumberFormat="1" applyFont="1"/>
    <xf numFmtId="37" fontId="3" fillId="2" borderId="0" xfId="0" applyNumberFormat="1" applyFont="1" applyAlignment="1">
      <alignment horizontal="right"/>
    </xf>
    <xf numFmtId="14" fontId="0" fillId="12" borderId="0" xfId="0" applyNumberFormat="1" applyFill="1" applyAlignment="1" applyProtection="1">
      <alignment horizontal="center"/>
      <protection locked="0"/>
    </xf>
    <xf numFmtId="2" fontId="3" fillId="2" borderId="0" xfId="3" applyNumberFormat="1" applyFont="1" applyFill="1" applyBorder="1" applyAlignment="1">
      <alignment horizontal="left"/>
    </xf>
    <xf numFmtId="0" fontId="50" fillId="2" borderId="0" xfId="3" applyNumberFormat="1" applyFont="1"/>
    <xf numFmtId="0" fontId="51" fillId="2" borderId="0" xfId="3" applyNumberFormat="1" applyFont="1" applyAlignment="1"/>
    <xf numFmtId="37" fontId="3" fillId="6" borderId="54" xfId="0" applyNumberFormat="1" applyFont="1" applyFill="1" applyBorder="1" applyAlignment="1" applyProtection="1">
      <alignment horizontal="center"/>
      <protection locked="0"/>
    </xf>
    <xf numFmtId="37" fontId="52" fillId="2" borderId="0" xfId="0" applyNumberFormat="1" applyFont="1"/>
    <xf numFmtId="37" fontId="53" fillId="2" borderId="0" xfId="0" applyNumberFormat="1" applyFont="1"/>
    <xf numFmtId="37" fontId="48" fillId="2" borderId="0" xfId="0" applyNumberFormat="1" applyFont="1"/>
    <xf numFmtId="37" fontId="32" fillId="2" borderId="0" xfId="0" applyNumberFormat="1" applyFont="1" applyAlignment="1">
      <alignment horizontal="left" wrapText="1"/>
    </xf>
    <xf numFmtId="37" fontId="32" fillId="2" borderId="0" xfId="0" applyNumberFormat="1" applyFont="1" applyAlignment="1">
      <alignment wrapText="1"/>
    </xf>
    <xf numFmtId="37" fontId="5" fillId="2" borderId="0" xfId="0" applyNumberFormat="1" applyFont="1" applyAlignment="1">
      <alignment horizontal="right" wrapText="1"/>
    </xf>
    <xf numFmtId="37" fontId="49" fillId="2" borderId="0" xfId="0" applyNumberFormat="1" applyFont="1" applyAlignment="1">
      <alignment horizontal="right"/>
    </xf>
    <xf numFmtId="37" fontId="47" fillId="2" borderId="0" xfId="0" applyNumberFormat="1" applyFont="1" applyAlignment="1">
      <alignment horizontal="right"/>
    </xf>
    <xf numFmtId="39" fontId="26" fillId="2" borderId="8" xfId="0" applyNumberFormat="1" applyFont="1" applyBorder="1"/>
    <xf numFmtId="5" fontId="0" fillId="5" borderId="14" xfId="0" applyNumberFormat="1" applyFill="1" applyBorder="1" applyAlignment="1" applyProtection="1">
      <alignment horizontal="right"/>
      <protection locked="0"/>
    </xf>
    <xf numFmtId="1" fontId="43" fillId="5" borderId="98" xfId="0" applyNumberFormat="1" applyFont="1" applyFill="1" applyBorder="1" applyAlignment="1">
      <alignment horizontal="center" vertical="center"/>
    </xf>
    <xf numFmtId="37" fontId="46" fillId="5" borderId="85" xfId="0" applyNumberFormat="1" applyFont="1" applyFill="1" applyBorder="1" applyAlignment="1">
      <alignment horizontal="center"/>
    </xf>
    <xf numFmtId="37" fontId="0" fillId="5" borderId="96" xfId="0" applyNumberFormat="1" applyFill="1" applyBorder="1" applyProtection="1">
      <protection locked="0"/>
    </xf>
    <xf numFmtId="39" fontId="0" fillId="5" borderId="96" xfId="0" applyNumberFormat="1" applyFill="1" applyBorder="1" applyProtection="1">
      <protection locked="0"/>
    </xf>
    <xf numFmtId="37" fontId="0" fillId="5" borderId="85" xfId="0" applyNumberFormat="1" applyFill="1" applyBorder="1" applyProtection="1">
      <protection locked="0"/>
    </xf>
    <xf numFmtId="39" fontId="0" fillId="5" borderId="85" xfId="0" applyNumberFormat="1" applyFill="1" applyBorder="1" applyProtection="1">
      <protection locked="0"/>
    </xf>
    <xf numFmtId="37" fontId="0" fillId="5" borderId="90" xfId="0" applyNumberFormat="1" applyFill="1" applyBorder="1" applyProtection="1">
      <protection locked="0"/>
    </xf>
    <xf numFmtId="37" fontId="0" fillId="5" borderId="99" xfId="0" applyNumberFormat="1" applyFill="1" applyBorder="1" applyProtection="1">
      <protection locked="0"/>
    </xf>
    <xf numFmtId="37" fontId="0" fillId="5" borderId="91" xfId="0" applyNumberFormat="1" applyFill="1" applyBorder="1" applyProtection="1">
      <protection locked="0"/>
    </xf>
    <xf numFmtId="39" fontId="0" fillId="5" borderId="91" xfId="0" applyNumberFormat="1" applyFill="1" applyBorder="1" applyProtection="1">
      <protection locked="0"/>
    </xf>
    <xf numFmtId="14" fontId="5" fillId="0" borderId="0" xfId="0" applyNumberFormat="1" applyFont="1" applyFill="1" applyBorder="1" applyProtection="1"/>
    <xf numFmtId="0" fontId="36" fillId="0" borderId="0" xfId="0" applyNumberFormat="1" applyFont="1" applyFill="1" applyBorder="1" applyAlignment="1">
      <alignment horizontal="left"/>
    </xf>
    <xf numFmtId="9" fontId="8" fillId="0" borderId="0" xfId="6" applyFont="1" applyFill="1" applyBorder="1" applyAlignment="1" applyProtection="1">
      <alignment horizontal="left"/>
    </xf>
    <xf numFmtId="37" fontId="41" fillId="2" borderId="100" xfId="0" applyNumberFormat="1" applyFont="1" applyBorder="1" applyAlignment="1">
      <alignment horizontal="center"/>
    </xf>
    <xf numFmtId="37" fontId="56" fillId="2" borderId="0" xfId="0" applyNumberFormat="1" applyFont="1" applyAlignment="1">
      <alignment horizontal="right"/>
    </xf>
    <xf numFmtId="37" fontId="28" fillId="2" borderId="0" xfId="0" applyNumberFormat="1" applyFont="1"/>
    <xf numFmtId="37" fontId="31" fillId="2" borderId="0" xfId="0" applyNumberFormat="1" applyFont="1" applyBorder="1" applyAlignment="1">
      <alignment horizontal="right"/>
    </xf>
    <xf numFmtId="37" fontId="57" fillId="2" borderId="0" xfId="0" applyNumberFormat="1" applyFont="1" applyAlignment="1">
      <alignment horizontal="left"/>
    </xf>
    <xf numFmtId="37" fontId="28" fillId="2" borderId="0" xfId="0" applyNumberFormat="1" applyFont="1" applyAlignment="1">
      <alignment horizontal="left"/>
    </xf>
    <xf numFmtId="37" fontId="58" fillId="0" borderId="0" xfId="0" applyNumberFormat="1" applyFont="1" applyFill="1" applyAlignment="1">
      <alignment horizontal="center" vertical="center"/>
    </xf>
    <xf numFmtId="37" fontId="10" fillId="15" borderId="13" xfId="0" applyNumberFormat="1" applyFont="1" applyFill="1" applyBorder="1" applyAlignment="1" applyProtection="1">
      <alignment horizontal="center"/>
      <protection locked="0"/>
    </xf>
    <xf numFmtId="10" fontId="8" fillId="0" borderId="0" xfId="6" applyNumberFormat="1" applyFont="1" applyFill="1" applyBorder="1" applyAlignment="1" applyProtection="1">
      <alignment horizontal="center"/>
    </xf>
    <xf numFmtId="0" fontId="3" fillId="2" borderId="101" xfId="3" applyNumberFormat="1" applyFont="1" applyBorder="1" applyAlignment="1">
      <alignment horizontal="left" indent="1"/>
    </xf>
    <xf numFmtId="0" fontId="16" fillId="2" borderId="101" xfId="3" applyNumberFormat="1" applyFont="1" applyBorder="1"/>
    <xf numFmtId="0" fontId="5" fillId="2" borderId="7" xfId="3" applyNumberFormat="1" applyFont="1" applyBorder="1" applyAlignment="1">
      <alignment horizontal="center" vertical="center"/>
    </xf>
    <xf numFmtId="0" fontId="5" fillId="2" borderId="7" xfId="3" applyNumberFormat="1" applyFont="1" applyBorder="1" applyAlignment="1">
      <alignment horizontal="center"/>
    </xf>
    <xf numFmtId="0" fontId="5" fillId="2" borderId="7" xfId="3" applyNumberFormat="1" applyFont="1" applyBorder="1" applyAlignment="1">
      <alignment horizontal="left" vertical="top"/>
    </xf>
    <xf numFmtId="37" fontId="59" fillId="0" borderId="0" xfId="0" applyNumberFormat="1" applyFont="1" applyFill="1" applyBorder="1" applyProtection="1">
      <protection hidden="1"/>
    </xf>
    <xf numFmtId="9" fontId="60" fillId="2" borderId="0" xfId="0" applyNumberFormat="1" applyFont="1" applyAlignment="1" applyProtection="1">
      <alignment horizontal="center" vertical="center"/>
      <protection hidden="1"/>
    </xf>
    <xf numFmtId="37" fontId="3" fillId="2" borderId="102" xfId="3" applyNumberFormat="1" applyBorder="1"/>
    <xf numFmtId="0" fontId="61" fillId="2" borderId="0" xfId="3" applyNumberFormat="1" applyFont="1" applyAlignment="1">
      <alignment horizontal="center"/>
    </xf>
    <xf numFmtId="37" fontId="28" fillId="2" borderId="32" xfId="0" applyNumberFormat="1" applyFont="1" applyBorder="1" applyAlignment="1">
      <alignment horizontal="left" vertical="center"/>
    </xf>
    <xf numFmtId="0" fontId="5" fillId="2" borderId="104" xfId="3" applyNumberFormat="1" applyFont="1" applyBorder="1" applyAlignment="1">
      <alignment horizontal="center" vertical="top"/>
    </xf>
    <xf numFmtId="10" fontId="10" fillId="16" borderId="13" xfId="0" applyNumberFormat="1" applyFont="1" applyFill="1" applyBorder="1" applyAlignment="1" applyProtection="1">
      <alignment horizontal="center"/>
      <protection locked="0"/>
    </xf>
    <xf numFmtId="37" fontId="10" fillId="16" borderId="0" xfId="0" applyNumberFormat="1" applyFont="1" applyFill="1" applyAlignment="1" applyProtection="1">
      <alignment horizontal="center"/>
      <protection locked="0"/>
    </xf>
    <xf numFmtId="37" fontId="62" fillId="2" borderId="0" xfId="0" applyNumberFormat="1" applyFont="1" applyAlignment="1">
      <alignment horizontal="center" vertical="center" wrapText="1"/>
    </xf>
    <xf numFmtId="10" fontId="3" fillId="4" borderId="0" xfId="3" applyNumberFormat="1" applyFill="1" applyBorder="1" applyProtection="1"/>
    <xf numFmtId="37" fontId="5" fillId="2" borderId="0" xfId="0" applyNumberFormat="1" applyFont="1" applyAlignment="1">
      <alignment horizontal="left" indent="1"/>
    </xf>
    <xf numFmtId="37" fontId="32" fillId="2" borderId="0" xfId="0" applyNumberFormat="1" applyFont="1" applyAlignment="1">
      <alignment horizontal="left" vertical="center"/>
    </xf>
    <xf numFmtId="37" fontId="32" fillId="2" borderId="0" xfId="0" applyNumberFormat="1" applyFont="1" applyAlignment="1">
      <alignment vertical="center"/>
    </xf>
    <xf numFmtId="167" fontId="8" fillId="17" borderId="121" xfId="0" applyNumberFormat="1" applyFont="1" applyFill="1" applyBorder="1" applyAlignment="1" applyProtection="1">
      <alignment horizontal="center" vertical="center"/>
      <protection locked="0"/>
    </xf>
    <xf numFmtId="0" fontId="10" fillId="16" borderId="13" xfId="0" applyNumberFormat="1" applyFont="1" applyFill="1" applyBorder="1" applyAlignment="1" applyProtection="1">
      <alignment horizontal="center"/>
      <protection locked="0"/>
    </xf>
    <xf numFmtId="37" fontId="10" fillId="15" borderId="13" xfId="0" applyNumberFormat="1" applyFont="1" applyFill="1" applyBorder="1" applyAlignment="1" applyProtection="1">
      <alignment horizontal="center"/>
      <protection locked="0"/>
    </xf>
    <xf numFmtId="37" fontId="18" fillId="2" borderId="0" xfId="0" applyNumberFormat="1" applyFont="1" applyAlignment="1">
      <alignment horizontal="centerContinuous"/>
    </xf>
    <xf numFmtId="1" fontId="20" fillId="14" borderId="0" xfId="0" applyNumberFormat="1" applyFont="1" applyFill="1" applyBorder="1" applyAlignment="1" applyProtection="1">
      <alignment horizontal="center" vertical="center"/>
      <protection locked="0"/>
    </xf>
    <xf numFmtId="37" fontId="3" fillId="19" borderId="19" xfId="3" applyNumberFormat="1" applyFill="1" applyBorder="1"/>
    <xf numFmtId="37" fontId="3" fillId="13" borderId="105" xfId="4" applyNumberFormat="1" applyFill="1" applyBorder="1" applyAlignment="1" applyProtection="1">
      <alignment horizontal="right"/>
      <protection locked="0"/>
    </xf>
    <xf numFmtId="37" fontId="3" fillId="20" borderId="19" xfId="3" applyNumberFormat="1" applyFill="1" applyBorder="1"/>
    <xf numFmtId="0" fontId="3" fillId="20" borderId="7" xfId="3" applyNumberFormat="1" applyFont="1" applyFill="1" applyBorder="1" applyAlignment="1">
      <alignment horizontal="center"/>
    </xf>
    <xf numFmtId="37" fontId="16" fillId="19" borderId="19" xfId="3" applyNumberFormat="1" applyFont="1" applyFill="1" applyBorder="1" applyAlignment="1">
      <alignment horizontal="right"/>
    </xf>
    <xf numFmtId="37" fontId="3" fillId="21" borderId="18" xfId="3" applyNumberFormat="1" applyFill="1" applyBorder="1"/>
    <xf numFmtId="0" fontId="5" fillId="21" borderId="7" xfId="3" applyNumberFormat="1" applyFont="1" applyFill="1" applyBorder="1" applyAlignment="1">
      <alignment horizontal="center" vertical="top"/>
    </xf>
    <xf numFmtId="0" fontId="8" fillId="21" borderId="101" xfId="3" applyNumberFormat="1" applyFont="1" applyFill="1" applyBorder="1" applyAlignment="1">
      <alignment horizontal="left"/>
    </xf>
    <xf numFmtId="0" fontId="16" fillId="0" borderId="101" xfId="3" applyNumberFormat="1" applyFont="1" applyFill="1" applyBorder="1" applyAlignment="1">
      <alignment horizontal="right"/>
    </xf>
    <xf numFmtId="37" fontId="3" fillId="0" borderId="18" xfId="3" applyNumberFormat="1" applyFill="1" applyBorder="1"/>
    <xf numFmtId="0" fontId="5" fillId="0" borderId="7" xfId="3" applyNumberFormat="1" applyFont="1" applyFill="1" applyBorder="1" applyAlignment="1">
      <alignment horizontal="center" vertical="top"/>
    </xf>
    <xf numFmtId="37" fontId="0" fillId="2" borderId="108" xfId="0" applyNumberFormat="1" applyBorder="1" applyAlignment="1"/>
    <xf numFmtId="37" fontId="0" fillId="2" borderId="108" xfId="0" applyNumberFormat="1" applyBorder="1" applyAlignment="1">
      <alignment horizontal="center"/>
    </xf>
    <xf numFmtId="37" fontId="5" fillId="2" borderId="0" xfId="0" quotePrefix="1" applyNumberFormat="1" applyFont="1" applyAlignment="1" applyProtection="1">
      <alignment horizontal="center"/>
    </xf>
    <xf numFmtId="164" fontId="5" fillId="2" borderId="0" xfId="0" quotePrefix="1" applyNumberFormat="1" applyFont="1" applyAlignment="1" applyProtection="1">
      <alignment horizontal="center"/>
    </xf>
    <xf numFmtId="9" fontId="0" fillId="2" borderId="0" xfId="0" applyNumberFormat="1" applyAlignment="1">
      <alignment horizontal="center"/>
    </xf>
    <xf numFmtId="9" fontId="0" fillId="2" borderId="0" xfId="0" applyNumberFormat="1" applyAlignment="1" applyProtection="1">
      <alignment horizontal="center"/>
    </xf>
    <xf numFmtId="37" fontId="16" fillId="2" borderId="108" xfId="0" applyNumberFormat="1" applyFont="1" applyBorder="1" applyAlignment="1">
      <alignment horizontal="center"/>
    </xf>
    <xf numFmtId="174" fontId="30" fillId="2" borderId="88" xfId="0" applyNumberFormat="1" applyFont="1" applyBorder="1" applyAlignment="1">
      <alignment horizontal="center"/>
    </xf>
    <xf numFmtId="169" fontId="0" fillId="2" borderId="88" xfId="0" applyNumberFormat="1" applyBorder="1" applyAlignment="1">
      <alignment horizontal="center"/>
    </xf>
    <xf numFmtId="37" fontId="63" fillId="2" borderId="87" xfId="0" applyNumberFormat="1" applyFont="1" applyBorder="1" applyAlignment="1">
      <alignment horizontal="center"/>
    </xf>
    <xf numFmtId="14" fontId="5" fillId="6" borderId="2" xfId="2" applyNumberFormat="1" applyFont="1" applyFill="1" applyBorder="1" applyProtection="1">
      <protection locked="0"/>
    </xf>
    <xf numFmtId="175" fontId="5" fillId="6" borderId="2" xfId="2" applyNumberFormat="1" applyFont="1" applyFill="1" applyBorder="1" applyProtection="1">
      <protection locked="0"/>
    </xf>
    <xf numFmtId="37" fontId="5" fillId="6" borderId="54" xfId="2" applyNumberFormat="1" applyFont="1" applyFill="1" applyBorder="1" applyAlignment="1" applyProtection="1">
      <alignment horizontal="left"/>
      <protection locked="0"/>
    </xf>
    <xf numFmtId="37" fontId="5" fillId="6" borderId="34" xfId="2" applyNumberFormat="1" applyFont="1" applyFill="1" applyBorder="1" applyAlignment="1" applyProtection="1">
      <alignment horizontal="left"/>
      <protection locked="0"/>
    </xf>
    <xf numFmtId="37" fontId="3" fillId="6" borderId="54" xfId="2" applyNumberFormat="1" applyFont="1" applyFill="1" applyBorder="1" applyAlignment="1" applyProtection="1">
      <alignment horizontal="center"/>
      <protection locked="0"/>
    </xf>
    <xf numFmtId="37" fontId="3" fillId="6" borderId="53" xfId="2" applyNumberFormat="1" applyFont="1" applyFill="1" applyBorder="1" applyAlignment="1" applyProtection="1">
      <alignment horizontal="center"/>
      <protection locked="0"/>
    </xf>
    <xf numFmtId="37" fontId="3" fillId="6" borderId="20" xfId="2" applyNumberFormat="1" applyFill="1" applyBorder="1" applyProtection="1">
      <protection locked="0"/>
    </xf>
    <xf numFmtId="0" fontId="3" fillId="8" borderId="20" xfId="2" applyNumberFormat="1" applyFont="1" applyFill="1" applyBorder="1" applyAlignment="1" applyProtection="1">
      <alignment horizontal="center" vertical="top"/>
      <protection locked="0"/>
    </xf>
    <xf numFmtId="37" fontId="3" fillId="6" borderId="51" xfId="2" applyNumberFormat="1" applyFill="1" applyBorder="1" applyProtection="1">
      <protection locked="0"/>
    </xf>
    <xf numFmtId="0" fontId="3" fillId="8" borderId="19" xfId="2" applyNumberFormat="1" applyFont="1" applyFill="1" applyBorder="1" applyAlignment="1" applyProtection="1">
      <alignment horizontal="center" vertical="top"/>
      <protection locked="0"/>
    </xf>
    <xf numFmtId="37" fontId="5" fillId="6" borderId="53" xfId="2" applyNumberFormat="1" applyFont="1" applyFill="1" applyBorder="1" applyAlignment="1" applyProtection="1">
      <alignment horizontal="left"/>
      <protection locked="0"/>
    </xf>
    <xf numFmtId="2" fontId="5" fillId="6" borderId="46" xfId="2" applyNumberFormat="1" applyFont="1" applyFill="1" applyBorder="1" applyProtection="1">
      <protection locked="0"/>
    </xf>
    <xf numFmtId="37" fontId="5" fillId="6" borderId="51" xfId="2" applyNumberFormat="1" applyFont="1" applyFill="1" applyBorder="1" applyAlignment="1" applyProtection="1">
      <alignment horizontal="center"/>
      <protection locked="0"/>
    </xf>
    <xf numFmtId="37" fontId="3" fillId="6" borderId="20" xfId="3" applyNumberFormat="1" applyFont="1" applyFill="1" applyBorder="1" applyProtection="1">
      <protection locked="0"/>
    </xf>
    <xf numFmtId="37" fontId="64" fillId="2" borderId="0" xfId="0" applyNumberFormat="1" applyFont="1" applyAlignment="1">
      <alignment vertical="center"/>
    </xf>
    <xf numFmtId="37" fontId="65" fillId="2" borderId="0" xfId="0" applyNumberFormat="1" applyFont="1" applyAlignment="1">
      <alignment vertical="center"/>
    </xf>
    <xf numFmtId="37" fontId="3" fillId="2" borderId="6" xfId="4" applyNumberFormat="1" applyBorder="1" applyAlignment="1" applyProtection="1">
      <alignment horizontal="right"/>
    </xf>
    <xf numFmtId="0" fontId="20" fillId="14" borderId="109" xfId="0" applyNumberFormat="1" applyFont="1" applyFill="1" applyBorder="1" applyAlignment="1" applyProtection="1">
      <alignment horizontal="center" vertical="center"/>
      <protection locked="0"/>
    </xf>
    <xf numFmtId="37" fontId="9" fillId="5" borderId="110" xfId="0" applyFont="1" applyFill="1" applyBorder="1" applyAlignment="1">
      <alignment horizontal="left"/>
    </xf>
    <xf numFmtId="37" fontId="55" fillId="0" borderId="0" xfId="0" applyFont="1" applyFill="1" applyBorder="1" applyAlignment="1">
      <alignment horizontal="center" vertical="top" wrapText="1"/>
    </xf>
    <xf numFmtId="37" fontId="28" fillId="0" borderId="0" xfId="0" applyFont="1" applyFill="1" applyBorder="1" applyAlignment="1">
      <alignment horizontal="center" wrapText="1"/>
    </xf>
    <xf numFmtId="167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37" fontId="28" fillId="22" borderId="111" xfId="0" applyFont="1" applyFill="1" applyBorder="1" applyAlignment="1">
      <alignment horizontal="center"/>
    </xf>
    <xf numFmtId="37" fontId="28" fillId="22" borderId="112" xfId="0" applyFont="1" applyFill="1" applyBorder="1" applyAlignment="1">
      <alignment horizontal="center"/>
    </xf>
    <xf numFmtId="37" fontId="28" fillId="5" borderId="112" xfId="0" applyFont="1" applyFill="1" applyBorder="1" applyAlignment="1">
      <alignment horizontal="right"/>
    </xf>
    <xf numFmtId="10" fontId="9" fillId="22" borderId="113" xfId="0" applyNumberFormat="1" applyFont="1" applyFill="1" applyBorder="1" applyAlignment="1">
      <alignment horizontal="right"/>
    </xf>
    <xf numFmtId="167" fontId="28" fillId="22" borderId="112" xfId="0" applyNumberFormat="1" applyFont="1" applyFill="1" applyBorder="1" applyAlignment="1">
      <alignment horizontal="center"/>
    </xf>
    <xf numFmtId="9" fontId="28" fillId="22" borderId="112" xfId="0" applyNumberFormat="1" applyFont="1" applyFill="1" applyBorder="1" applyAlignment="1">
      <alignment horizontal="center"/>
    </xf>
    <xf numFmtId="10" fontId="28" fillId="5" borderId="113" xfId="0" applyNumberFormat="1" applyFont="1" applyFill="1" applyBorder="1" applyAlignment="1">
      <alignment horizontal="right"/>
    </xf>
    <xf numFmtId="9" fontId="28" fillId="5" borderId="112" xfId="0" applyNumberFormat="1" applyFont="1" applyFill="1" applyBorder="1" applyAlignment="1">
      <alignment horizontal="right"/>
    </xf>
    <xf numFmtId="10" fontId="28" fillId="22" borderId="113" xfId="0" applyNumberFormat="1" applyFont="1" applyFill="1" applyBorder="1" applyAlignment="1">
      <alignment horizontal="right"/>
    </xf>
    <xf numFmtId="37" fontId="28" fillId="5" borderId="35" xfId="0" applyFont="1" applyFill="1" applyBorder="1" applyAlignment="1">
      <alignment horizontal="right"/>
    </xf>
    <xf numFmtId="169" fontId="0" fillId="2" borderId="0" xfId="0" applyNumberFormat="1" applyBorder="1" applyAlignment="1">
      <alignment horizontal="right"/>
    </xf>
    <xf numFmtId="37" fontId="0" fillId="2" borderId="122" xfId="0" applyNumberFormat="1" applyBorder="1" applyAlignment="1">
      <alignment horizontal="right"/>
    </xf>
    <xf numFmtId="169" fontId="0" fillId="2" borderId="78" xfId="0" applyNumberFormat="1" applyBorder="1" applyAlignment="1">
      <alignment horizontal="center"/>
    </xf>
    <xf numFmtId="174" fontId="10" fillId="2" borderId="0" xfId="0" applyNumberFormat="1" applyFont="1" applyBorder="1" applyAlignment="1">
      <alignment horizontal="right"/>
    </xf>
    <xf numFmtId="37" fontId="0" fillId="2" borderId="123" xfId="0" applyNumberFormat="1" applyBorder="1" applyAlignment="1">
      <alignment horizontal="center"/>
    </xf>
    <xf numFmtId="37" fontId="0" fillId="2" borderId="108" xfId="0" applyNumberFormat="1" applyBorder="1" applyAlignment="1">
      <alignment horizontal="right"/>
    </xf>
    <xf numFmtId="5" fontId="0" fillId="2" borderId="108" xfId="0" applyNumberFormat="1" applyBorder="1" applyAlignment="1">
      <alignment horizontal="center"/>
    </xf>
    <xf numFmtId="37" fontId="0" fillId="2" borderId="0" xfId="0" applyNumberFormat="1" applyBorder="1" applyAlignment="1">
      <alignment horizontal="right"/>
    </xf>
    <xf numFmtId="5" fontId="0" fillId="2" borderId="0" xfId="0" applyNumberFormat="1" applyBorder="1" applyAlignment="1">
      <alignment horizontal="center"/>
    </xf>
    <xf numFmtId="169" fontId="0" fillId="2" borderId="0" xfId="0" applyNumberFormat="1" applyBorder="1" applyAlignment="1">
      <alignment horizontal="center"/>
    </xf>
    <xf numFmtId="37" fontId="63" fillId="2" borderId="0" xfId="0" applyNumberFormat="1" applyFont="1" applyBorder="1" applyAlignment="1">
      <alignment horizontal="center"/>
    </xf>
    <xf numFmtId="174" fontId="30" fillId="2" borderId="0" xfId="0" applyNumberFormat="1" applyFont="1" applyBorder="1" applyAlignment="1">
      <alignment horizontal="center"/>
    </xf>
    <xf numFmtId="37" fontId="8" fillId="2" borderId="79" xfId="0" applyNumberFormat="1" applyFont="1" applyBorder="1"/>
    <xf numFmtId="37" fontId="5" fillId="2" borderId="1" xfId="0" applyNumberFormat="1" applyFont="1" applyBorder="1" applyAlignment="1" applyProtection="1">
      <alignment horizontal="right"/>
    </xf>
    <xf numFmtId="37" fontId="5" fillId="2" borderId="28" xfId="0" applyNumberFormat="1" applyFont="1" applyBorder="1" applyAlignment="1" applyProtection="1">
      <alignment horizontal="left"/>
    </xf>
    <xf numFmtId="39" fontId="26" fillId="2" borderId="18" xfId="0" applyNumberFormat="1" applyFont="1" applyBorder="1" applyAlignment="1" applyProtection="1">
      <alignment horizontal="right"/>
    </xf>
    <xf numFmtId="2" fontId="26" fillId="0" borderId="115" xfId="0" applyNumberFormat="1" applyFont="1" applyFill="1" applyBorder="1" applyAlignment="1" applyProtection="1">
      <alignment horizontal="center"/>
    </xf>
    <xf numFmtId="39" fontId="26" fillId="2" borderId="18" xfId="0" applyNumberFormat="1" applyFont="1" applyBorder="1"/>
    <xf numFmtId="37" fontId="5" fillId="2" borderId="1" xfId="0" applyNumberFormat="1" applyFont="1" applyBorder="1" applyAlignment="1" applyProtection="1">
      <alignment horizontal="right"/>
    </xf>
    <xf numFmtId="37" fontId="0" fillId="2" borderId="0" xfId="0" applyNumberFormat="1" applyAlignment="1"/>
    <xf numFmtId="0" fontId="1" fillId="2" borderId="0" xfId="3" applyNumberFormat="1" applyFont="1" applyAlignment="1">
      <alignment horizontal="center"/>
    </xf>
    <xf numFmtId="0" fontId="28" fillId="2" borderId="0" xfId="3" applyNumberFormat="1" applyFont="1" applyAlignment="1">
      <alignment horizontal="center" vertical="center" wrapText="1"/>
    </xf>
    <xf numFmtId="0" fontId="5" fillId="6" borderId="126" xfId="2" applyNumberFormat="1" applyFont="1" applyFill="1" applyBorder="1" applyAlignment="1" applyProtection="1">
      <alignment horizontal="left"/>
      <protection locked="0"/>
    </xf>
    <xf numFmtId="0" fontId="5" fillId="6" borderId="50" xfId="0" applyNumberFormat="1" applyFont="1" applyFill="1" applyBorder="1" applyAlignment="1" applyProtection="1">
      <alignment horizontal="left"/>
      <protection locked="0"/>
    </xf>
    <xf numFmtId="0" fontId="5" fillId="6" borderId="65" xfId="0" applyNumberFormat="1" applyFont="1" applyFill="1" applyBorder="1" applyAlignment="1" applyProtection="1">
      <alignment horizontal="left"/>
      <protection locked="0"/>
    </xf>
    <xf numFmtId="2" fontId="5" fillId="6" borderId="127" xfId="2" applyNumberFormat="1" applyFont="1" applyFill="1" applyBorder="1" applyAlignment="1" applyProtection="1">
      <alignment horizontal="center"/>
      <protection locked="0"/>
    </xf>
    <xf numFmtId="37" fontId="5" fillId="6" borderId="46" xfId="2" applyNumberFormat="1" applyFont="1" applyFill="1" applyBorder="1" applyProtection="1">
      <protection locked="0"/>
    </xf>
    <xf numFmtId="2" fontId="5" fillId="0" borderId="46" xfId="0" applyNumberFormat="1" applyFont="1" applyFill="1" applyBorder="1" applyAlignment="1" applyProtection="1">
      <alignment horizontal="center"/>
    </xf>
    <xf numFmtId="167" fontId="5" fillId="2" borderId="46" xfId="0" applyNumberFormat="1" applyFont="1" applyBorder="1" applyAlignment="1">
      <alignment horizontal="center"/>
    </xf>
    <xf numFmtId="2" fontId="5" fillId="6" borderId="128" xfId="0" applyNumberFormat="1" applyFont="1" applyFill="1" applyBorder="1" applyAlignment="1" applyProtection="1">
      <alignment horizontal="center"/>
      <protection locked="0"/>
    </xf>
    <xf numFmtId="37" fontId="5" fillId="6" borderId="48" xfId="0" applyNumberFormat="1" applyFont="1" applyFill="1" applyBorder="1" applyProtection="1">
      <protection locked="0"/>
    </xf>
    <xf numFmtId="2" fontId="5" fillId="0" borderId="48" xfId="0" applyNumberFormat="1" applyFont="1" applyFill="1" applyBorder="1" applyAlignment="1" applyProtection="1">
      <alignment horizontal="center"/>
    </xf>
    <xf numFmtId="2" fontId="5" fillId="6" borderId="129" xfId="0" applyNumberFormat="1" applyFont="1" applyFill="1" applyBorder="1" applyAlignment="1" applyProtection="1">
      <alignment horizontal="center"/>
      <protection locked="0"/>
    </xf>
    <xf numFmtId="37" fontId="5" fillId="6" borderId="58" xfId="0" applyNumberFormat="1" applyFont="1" applyFill="1" applyBorder="1" applyProtection="1">
      <protection locked="0"/>
    </xf>
    <xf numFmtId="2" fontId="5" fillId="0" borderId="58" xfId="0" applyNumberFormat="1" applyFont="1" applyFill="1" applyBorder="1" applyAlignment="1" applyProtection="1">
      <alignment horizontal="center"/>
    </xf>
    <xf numFmtId="2" fontId="5" fillId="3" borderId="58" xfId="0" applyNumberFormat="1" applyFont="1" applyFill="1" applyBorder="1" applyProtection="1"/>
    <xf numFmtId="37" fontId="5" fillId="6" borderId="127" xfId="2" applyNumberFormat="1" applyFont="1" applyFill="1" applyBorder="1" applyProtection="1">
      <protection locked="0"/>
    </xf>
    <xf numFmtId="2" fontId="26" fillId="3" borderId="47" xfId="0" applyNumberFormat="1" applyFont="1" applyFill="1" applyBorder="1" applyProtection="1"/>
    <xf numFmtId="37" fontId="5" fillId="6" borderId="128" xfId="2" applyNumberFormat="1" applyFont="1" applyFill="1" applyBorder="1" applyProtection="1">
      <protection locked="0"/>
    </xf>
    <xf numFmtId="2" fontId="26" fillId="3" borderId="49" xfId="0" applyNumberFormat="1" applyFont="1" applyFill="1" applyBorder="1" applyProtection="1"/>
    <xf numFmtId="37" fontId="5" fillId="6" borderId="128" xfId="0" applyNumberFormat="1" applyFont="1" applyFill="1" applyBorder="1" applyProtection="1">
      <protection locked="0"/>
    </xf>
    <xf numFmtId="37" fontId="5" fillId="6" borderId="129" xfId="0" applyNumberFormat="1" applyFont="1" applyFill="1" applyBorder="1" applyProtection="1">
      <protection locked="0"/>
    </xf>
    <xf numFmtId="2" fontId="26" fillId="3" borderId="59" xfId="0" applyNumberFormat="1" applyFont="1" applyFill="1" applyBorder="1" applyProtection="1"/>
    <xf numFmtId="0" fontId="5" fillId="6" borderId="126" xfId="2" applyNumberFormat="1" applyFont="1" applyFill="1" applyBorder="1" applyAlignment="1" applyProtection="1">
      <protection locked="0"/>
    </xf>
    <xf numFmtId="0" fontId="5" fillId="6" borderId="50" xfId="2" applyNumberFormat="1" applyFont="1" applyFill="1" applyBorder="1" applyAlignment="1" applyProtection="1">
      <protection locked="0"/>
    </xf>
    <xf numFmtId="0" fontId="5" fillId="6" borderId="50" xfId="0" applyNumberFormat="1" applyFont="1" applyFill="1" applyBorder="1" applyAlignment="1" applyProtection="1">
      <protection locked="0"/>
    </xf>
    <xf numFmtId="1" fontId="5" fillId="6" borderId="21" xfId="2" applyNumberFormat="1" applyFont="1" applyFill="1" applyBorder="1" applyAlignment="1" applyProtection="1">
      <alignment horizontal="center"/>
      <protection locked="0"/>
    </xf>
    <xf numFmtId="1" fontId="5" fillId="6" borderId="84" xfId="2" applyNumberFormat="1" applyFont="1" applyFill="1" applyBorder="1" applyAlignment="1" applyProtection="1">
      <alignment horizontal="center"/>
      <protection locked="0"/>
    </xf>
    <xf numFmtId="1" fontId="5" fillId="6" borderId="22" xfId="2" applyNumberFormat="1" applyFont="1" applyFill="1" applyBorder="1" applyAlignment="1" applyProtection="1">
      <alignment horizontal="center"/>
      <protection locked="0"/>
    </xf>
    <xf numFmtId="1" fontId="5" fillId="6" borderId="22" xfId="0" applyNumberFormat="1" applyFont="1" applyFill="1" applyBorder="1" applyAlignment="1" applyProtection="1">
      <alignment horizontal="center"/>
      <protection locked="0"/>
    </xf>
    <xf numFmtId="2" fontId="5" fillId="6" borderId="19" xfId="2" applyNumberFormat="1" applyFont="1" applyFill="1" applyBorder="1" applyAlignment="1" applyProtection="1">
      <alignment horizontal="center"/>
      <protection locked="0"/>
    </xf>
    <xf numFmtId="2" fontId="5" fillId="6" borderId="51" xfId="2" applyNumberFormat="1" applyFont="1" applyFill="1" applyBorder="1" applyAlignment="1" applyProtection="1">
      <alignment horizontal="center"/>
      <protection locked="0"/>
    </xf>
    <xf numFmtId="2" fontId="5" fillId="6" borderId="20" xfId="2" applyNumberFormat="1" applyFont="1" applyFill="1" applyBorder="1" applyAlignment="1" applyProtection="1">
      <alignment horizontal="center"/>
      <protection locked="0"/>
    </xf>
    <xf numFmtId="2" fontId="5" fillId="6" borderId="20" xfId="0" applyNumberFormat="1" applyFont="1" applyFill="1" applyBorder="1" applyAlignment="1" applyProtection="1">
      <alignment horizontal="center"/>
      <protection locked="0"/>
    </xf>
    <xf numFmtId="167" fontId="5" fillId="2" borderId="19" xfId="0" applyNumberFormat="1" applyFont="1" applyBorder="1" applyAlignment="1">
      <alignment horizontal="right"/>
    </xf>
    <xf numFmtId="37" fontId="5" fillId="2" borderId="19" xfId="0" applyNumberFormat="1" applyFont="1" applyBorder="1"/>
    <xf numFmtId="167" fontId="5" fillId="2" borderId="51" xfId="0" applyNumberFormat="1" applyFont="1" applyBorder="1" applyAlignment="1">
      <alignment horizontal="right"/>
    </xf>
    <xf numFmtId="167" fontId="5" fillId="2" borderId="17" xfId="0" applyNumberFormat="1" applyFont="1" applyBorder="1" applyAlignment="1">
      <alignment horizontal="right"/>
    </xf>
    <xf numFmtId="37" fontId="5" fillId="2" borderId="17" xfId="0" applyNumberFormat="1" applyFont="1" applyBorder="1"/>
    <xf numFmtId="37" fontId="5" fillId="2" borderId="134" xfId="0" applyNumberFormat="1" applyFont="1" applyBorder="1" applyAlignment="1">
      <alignment horizontal="center"/>
    </xf>
    <xf numFmtId="37" fontId="5" fillId="2" borderId="66" xfId="0" applyNumberFormat="1" applyFont="1" applyBorder="1" applyAlignment="1" applyProtection="1">
      <alignment horizontal="center"/>
    </xf>
    <xf numFmtId="37" fontId="5" fillId="2" borderId="66" xfId="0" applyNumberFormat="1" applyFont="1" applyBorder="1" applyAlignment="1">
      <alignment horizontal="center"/>
    </xf>
    <xf numFmtId="37" fontId="24" fillId="2" borderId="135" xfId="0" applyNumberFormat="1" applyFont="1" applyBorder="1" applyAlignment="1">
      <alignment horizontal="center"/>
    </xf>
    <xf numFmtId="37" fontId="5" fillId="2" borderId="136" xfId="0" applyNumberFormat="1" applyFont="1" applyBorder="1" applyAlignment="1">
      <alignment horizontal="center"/>
    </xf>
    <xf numFmtId="37" fontId="24" fillId="2" borderId="68" xfId="0" applyNumberFormat="1" applyFont="1" applyBorder="1" applyAlignment="1" applyProtection="1">
      <alignment horizontal="center"/>
    </xf>
    <xf numFmtId="37" fontId="5" fillId="2" borderId="68" xfId="0" applyNumberFormat="1" applyFont="1" applyBorder="1" applyAlignment="1">
      <alignment horizontal="center"/>
    </xf>
    <xf numFmtId="37" fontId="24" fillId="2" borderId="137" xfId="0" applyNumberFormat="1" applyFont="1" applyBorder="1" applyAlignment="1">
      <alignment horizontal="center"/>
    </xf>
    <xf numFmtId="37" fontId="5" fillId="2" borderId="131" xfId="0" applyNumberFormat="1" applyFont="1" applyBorder="1" applyAlignment="1">
      <alignment horizontal="center"/>
    </xf>
    <xf numFmtId="37" fontId="24" fillId="2" borderId="70" xfId="0" applyNumberFormat="1" applyFont="1" applyBorder="1" applyAlignment="1" applyProtection="1">
      <alignment horizontal="center"/>
    </xf>
    <xf numFmtId="37" fontId="5" fillId="2" borderId="70" xfId="0" applyNumberFormat="1" applyFont="1" applyBorder="1" applyAlignment="1">
      <alignment horizontal="center"/>
    </xf>
    <xf numFmtId="37" fontId="24" fillId="2" borderId="132" xfId="0" applyNumberFormat="1" applyFont="1" applyBorder="1" applyAlignment="1">
      <alignment horizontal="center"/>
    </xf>
    <xf numFmtId="5" fontId="0" fillId="2" borderId="91" xfId="0" applyNumberFormat="1" applyBorder="1"/>
    <xf numFmtId="39" fontId="0" fillId="5" borderId="97" xfId="0" applyNumberFormat="1" applyFill="1" applyBorder="1" applyProtection="1">
      <protection locked="0"/>
    </xf>
    <xf numFmtId="37" fontId="0" fillId="5" borderId="97" xfId="0" applyNumberFormat="1" applyFill="1" applyBorder="1" applyProtection="1">
      <protection locked="0"/>
    </xf>
    <xf numFmtId="37" fontId="3" fillId="2" borderId="51" xfId="3" applyNumberFormat="1" applyBorder="1"/>
    <xf numFmtId="37" fontId="3" fillId="2" borderId="8" xfId="3" applyNumberFormat="1" applyBorder="1"/>
    <xf numFmtId="37" fontId="3" fillId="2" borderId="17" xfId="3" applyNumberFormat="1" applyBorder="1"/>
    <xf numFmtId="37" fontId="3" fillId="2" borderId="6" xfId="3" applyNumberFormat="1" applyBorder="1"/>
    <xf numFmtId="37" fontId="5" fillId="2" borderId="28" xfId="0" applyNumberFormat="1" applyFont="1" applyBorder="1" applyAlignment="1" applyProtection="1">
      <alignment horizontal="left"/>
    </xf>
    <xf numFmtId="0" fontId="3" fillId="2" borderId="0" xfId="3" applyNumberFormat="1" applyFont="1" applyBorder="1" applyAlignment="1">
      <alignment vertical="center" wrapText="1"/>
    </xf>
    <xf numFmtId="37" fontId="3" fillId="2" borderId="2" xfId="3" applyNumberFormat="1" applyFill="1" applyBorder="1" applyAlignment="1">
      <alignment horizontal="left"/>
    </xf>
    <xf numFmtId="0" fontId="3" fillId="2" borderId="2" xfId="3" applyNumberFormat="1" applyFill="1" applyBorder="1" applyAlignment="1">
      <alignment horizontal="left"/>
    </xf>
    <xf numFmtId="0" fontId="3" fillId="2" borderId="13" xfId="3" applyNumberFormat="1" applyBorder="1" applyAlignment="1">
      <alignment horizontal="centerContinuous"/>
    </xf>
    <xf numFmtId="0" fontId="3" fillId="2" borderId="29" xfId="3" applyNumberFormat="1" applyBorder="1"/>
    <xf numFmtId="0" fontId="3" fillId="2" borderId="35" xfId="3" applyNumberFormat="1" applyBorder="1" applyAlignment="1">
      <alignment horizontal="left"/>
    </xf>
    <xf numFmtId="169" fontId="8" fillId="2" borderId="92" xfId="3" applyNumberFormat="1" applyFont="1" applyBorder="1" applyAlignment="1">
      <alignment horizontal="center" vertical="center"/>
    </xf>
    <xf numFmtId="0" fontId="36" fillId="2" borderId="0" xfId="3" applyNumberFormat="1" applyFont="1" applyAlignment="1">
      <alignment horizontal="right" vertical="top"/>
    </xf>
    <xf numFmtId="0" fontId="3" fillId="2" borderId="57" xfId="3" applyNumberFormat="1" applyFont="1" applyBorder="1" applyAlignment="1">
      <alignment horizontal="left"/>
    </xf>
    <xf numFmtId="0" fontId="3" fillId="2" borderId="57" xfId="3" applyNumberFormat="1" applyFont="1" applyBorder="1" applyProtection="1"/>
    <xf numFmtId="0" fontId="3" fillId="2" borderId="57" xfId="3" applyNumberFormat="1" applyFont="1" applyBorder="1" applyProtection="1">
      <protection locked="0"/>
    </xf>
    <xf numFmtId="37" fontId="3" fillId="0" borderId="6" xfId="3" applyNumberFormat="1" applyFill="1" applyBorder="1"/>
    <xf numFmtId="0" fontId="8" fillId="2" borderId="60" xfId="3" applyNumberFormat="1" applyFont="1" applyBorder="1" applyAlignment="1">
      <alignment horizontal="center"/>
    </xf>
    <xf numFmtId="37" fontId="16" fillId="19" borderId="0" xfId="3" applyNumberFormat="1" applyFont="1" applyFill="1" applyBorder="1" applyAlignment="1">
      <alignment horizontal="right"/>
    </xf>
    <xf numFmtId="37" fontId="3" fillId="19" borderId="6" xfId="3" applyNumberFormat="1" applyFill="1" applyBorder="1"/>
    <xf numFmtId="37" fontId="3" fillId="20" borderId="6" xfId="3" applyNumberFormat="1" applyFill="1" applyBorder="1"/>
    <xf numFmtId="0" fontId="10" fillId="2" borderId="0" xfId="3" applyNumberFormat="1" applyFont="1" applyAlignment="1">
      <alignment horizontal="left"/>
    </xf>
    <xf numFmtId="0" fontId="8" fillId="2" borderId="0" xfId="3" applyNumberFormat="1" applyFont="1" applyAlignment="1">
      <alignment horizontal="center"/>
    </xf>
    <xf numFmtId="0" fontId="20" fillId="6" borderId="138" xfId="3" applyNumberFormat="1" applyFont="1" applyFill="1" applyBorder="1" applyAlignment="1" applyProtection="1">
      <alignment horizontal="center"/>
      <protection locked="0"/>
    </xf>
    <xf numFmtId="37" fontId="9" fillId="5" borderId="110" xfId="0" applyFont="1" applyFill="1" applyBorder="1" applyAlignment="1">
      <alignment horizontal="left"/>
    </xf>
    <xf numFmtId="37" fontId="60" fillId="2" borderId="0" xfId="3" applyNumberFormat="1" applyFont="1" applyBorder="1"/>
    <xf numFmtId="0" fontId="60" fillId="2" borderId="0" xfId="3" applyNumberFormat="1" applyFont="1" applyBorder="1"/>
    <xf numFmtId="0" fontId="60" fillId="2" borderId="0" xfId="3" applyNumberFormat="1" applyFont="1" applyBorder="1" applyAlignment="1">
      <alignment horizontal="center"/>
    </xf>
    <xf numFmtId="37" fontId="70" fillId="2" borderId="0" xfId="0" applyNumberFormat="1" applyFont="1"/>
    <xf numFmtId="37" fontId="59" fillId="2" borderId="0" xfId="0" applyNumberFormat="1" applyFont="1"/>
    <xf numFmtId="37" fontId="60" fillId="2" borderId="0" xfId="0" applyNumberFormat="1" applyFont="1"/>
    <xf numFmtId="165" fontId="59" fillId="2" borderId="0" xfId="0" applyNumberFormat="1" applyFont="1"/>
    <xf numFmtId="37" fontId="70" fillId="2" borderId="0" xfId="0" applyNumberFormat="1" applyFont="1" applyAlignment="1">
      <alignment horizontal="centerContinuous"/>
    </xf>
    <xf numFmtId="37" fontId="70" fillId="2" borderId="0" xfId="0" applyNumberFormat="1" applyFont="1" applyAlignment="1">
      <alignment horizontal="center"/>
    </xf>
    <xf numFmtId="37" fontId="59" fillId="2" borderId="0" xfId="0" applyNumberFormat="1" applyFont="1" applyAlignment="1">
      <alignment horizontal="center"/>
    </xf>
    <xf numFmtId="37" fontId="59" fillId="2" borderId="0" xfId="0" applyNumberFormat="1" applyFont="1" applyProtection="1"/>
    <xf numFmtId="37" fontId="70" fillId="2" borderId="0" xfId="0" applyNumberFormat="1" applyFont="1" applyAlignment="1" applyProtection="1">
      <alignment horizontal="center"/>
    </xf>
    <xf numFmtId="37" fontId="60" fillId="2" borderId="0" xfId="0" applyNumberFormat="1" applyFont="1" applyAlignment="1" applyProtection="1">
      <alignment horizontal="center"/>
    </xf>
    <xf numFmtId="37" fontId="59" fillId="2" borderId="0" xfId="0" applyNumberFormat="1" applyFont="1" applyAlignment="1" applyProtection="1">
      <alignment horizontal="center"/>
    </xf>
    <xf numFmtId="165" fontId="59" fillId="2" borderId="0" xfId="0" applyNumberFormat="1" applyFont="1" applyAlignment="1" applyProtection="1">
      <alignment horizontal="center"/>
    </xf>
    <xf numFmtId="37" fontId="59" fillId="2" borderId="0" xfId="0" quotePrefix="1" applyNumberFormat="1" applyFont="1" applyProtection="1"/>
    <xf numFmtId="171" fontId="60" fillId="2" borderId="0" xfId="0" applyNumberFormat="1" applyFont="1"/>
    <xf numFmtId="37" fontId="59" fillId="2" borderId="0" xfId="0" applyNumberFormat="1" applyFont="1" applyBorder="1" applyAlignment="1" applyProtection="1">
      <alignment horizontal="center"/>
    </xf>
    <xf numFmtId="37" fontId="60" fillId="2" borderId="0" xfId="0" applyNumberFormat="1" applyFont="1" applyProtection="1"/>
    <xf numFmtId="37" fontId="59" fillId="3" borderId="0" xfId="0" applyNumberFormat="1" applyFont="1" applyFill="1" applyProtection="1"/>
    <xf numFmtId="37" fontId="59" fillId="3" borderId="0" xfId="0" applyNumberFormat="1" applyFont="1" applyFill="1"/>
    <xf numFmtId="37" fontId="60" fillId="3" borderId="0" xfId="0" applyNumberFormat="1" applyFont="1" applyFill="1"/>
    <xf numFmtId="164" fontId="59" fillId="2" borderId="0" xfId="0" applyNumberFormat="1" applyFont="1" applyProtection="1"/>
    <xf numFmtId="164" fontId="59" fillId="2" borderId="0" xfId="0" quotePrefix="1" applyNumberFormat="1" applyFont="1" applyProtection="1"/>
    <xf numFmtId="0" fontId="71" fillId="2" borderId="0" xfId="3" applyNumberFormat="1" applyFont="1"/>
    <xf numFmtId="0" fontId="3" fillId="0" borderId="0" xfId="3" applyNumberFormat="1" applyFill="1" applyBorder="1" applyAlignment="1">
      <alignment horizontal="center"/>
    </xf>
    <xf numFmtId="37" fontId="22" fillId="2" borderId="0" xfId="3" applyNumberFormat="1" applyFont="1" applyBorder="1"/>
    <xf numFmtId="37" fontId="3" fillId="2" borderId="0" xfId="3" applyNumberFormat="1" applyBorder="1"/>
    <xf numFmtId="37" fontId="72" fillId="2" borderId="0" xfId="3" applyNumberFormat="1" applyFont="1" applyBorder="1"/>
    <xf numFmtId="0" fontId="75" fillId="24" borderId="0" xfId="3" applyNumberFormat="1" applyFont="1" applyFill="1" applyBorder="1" applyAlignment="1">
      <alignment horizontal="left"/>
    </xf>
    <xf numFmtId="49" fontId="76" fillId="24" borderId="0" xfId="3" applyNumberFormat="1" applyFont="1" applyFill="1" applyBorder="1" applyAlignment="1">
      <alignment horizontal="center" wrapText="1"/>
    </xf>
    <xf numFmtId="37" fontId="76" fillId="24" borderId="0" xfId="0" applyNumberFormat="1" applyFont="1" applyFill="1" applyBorder="1" applyAlignment="1">
      <alignment horizontal="center"/>
    </xf>
    <xf numFmtId="37" fontId="76" fillId="24" borderId="0" xfId="0" applyNumberFormat="1" applyFont="1" applyFill="1" applyBorder="1" applyAlignment="1">
      <alignment horizontal="center" wrapText="1"/>
    </xf>
    <xf numFmtId="0" fontId="76" fillId="24" borderId="0" xfId="3" applyNumberFormat="1" applyFont="1" applyFill="1" applyBorder="1" applyAlignment="1">
      <alignment horizontal="center"/>
    </xf>
    <xf numFmtId="0" fontId="60" fillId="24" borderId="0" xfId="3" applyNumberFormat="1" applyFont="1" applyFill="1" applyBorder="1"/>
    <xf numFmtId="0" fontId="3" fillId="6" borderId="142" xfId="3" applyNumberFormat="1" applyFill="1" applyBorder="1" applyAlignment="1">
      <alignment horizontal="center"/>
    </xf>
    <xf numFmtId="0" fontId="3" fillId="23" borderId="143" xfId="3" applyNumberFormat="1" applyFont="1" applyFill="1" applyBorder="1" applyAlignment="1">
      <alignment horizontal="center"/>
    </xf>
    <xf numFmtId="0" fontId="73" fillId="24" borderId="0" xfId="3" applyNumberFormat="1" applyFont="1" applyFill="1" applyBorder="1"/>
    <xf numFmtId="0" fontId="74" fillId="24" borderId="0" xfId="3" applyNumberFormat="1" applyFont="1" applyFill="1" applyBorder="1" applyAlignment="1">
      <alignment horizontal="center"/>
    </xf>
    <xf numFmtId="0" fontId="77" fillId="24" borderId="0" xfId="3" applyNumberFormat="1" applyFont="1" applyFill="1" applyBorder="1" applyAlignment="1">
      <alignment horizontal="left"/>
    </xf>
    <xf numFmtId="37" fontId="60" fillId="24" borderId="0" xfId="3" applyNumberFormat="1" applyFont="1" applyFill="1" applyBorder="1" applyAlignment="1">
      <alignment horizontal="right" indent="1"/>
    </xf>
    <xf numFmtId="37" fontId="60" fillId="24" borderId="0" xfId="3" applyNumberFormat="1" applyFont="1" applyFill="1" applyBorder="1"/>
    <xf numFmtId="0" fontId="78" fillId="24" borderId="0" xfId="3" applyNumberFormat="1" applyFont="1" applyFill="1" applyBorder="1" applyAlignment="1">
      <alignment horizontal="left"/>
    </xf>
    <xf numFmtId="37" fontId="78" fillId="24" borderId="0" xfId="3" applyNumberFormat="1" applyFont="1" applyFill="1" applyBorder="1" applyAlignment="1">
      <alignment horizontal="right" indent="1"/>
    </xf>
    <xf numFmtId="37" fontId="78" fillId="24" borderId="0" xfId="3" applyNumberFormat="1" applyFont="1" applyFill="1" applyBorder="1"/>
    <xf numFmtId="0" fontId="60" fillId="24" borderId="0" xfId="3" applyNumberFormat="1" applyFont="1" applyFill="1" applyBorder="1" applyAlignment="1">
      <alignment horizontal="left"/>
    </xf>
    <xf numFmtId="0" fontId="77" fillId="24" borderId="0" xfId="3" applyNumberFormat="1" applyFont="1" applyFill="1" applyBorder="1"/>
    <xf numFmtId="0" fontId="78" fillId="24" borderId="0" xfId="3" applyNumberFormat="1" applyFont="1" applyFill="1" applyBorder="1"/>
    <xf numFmtId="37" fontId="79" fillId="24" borderId="0" xfId="3" applyNumberFormat="1" applyFont="1" applyFill="1" applyBorder="1"/>
    <xf numFmtId="5" fontId="60" fillId="24" borderId="0" xfId="3" applyNumberFormat="1" applyFont="1" applyFill="1" applyBorder="1" applyAlignment="1">
      <alignment horizontal="right" indent="1"/>
    </xf>
    <xf numFmtId="5" fontId="60" fillId="24" borderId="0" xfId="3" applyNumberFormat="1" applyFont="1" applyFill="1" applyBorder="1"/>
    <xf numFmtId="0" fontId="80" fillId="24" borderId="0" xfId="3" applyNumberFormat="1" applyFont="1" applyFill="1" applyBorder="1"/>
    <xf numFmtId="166" fontId="80" fillId="24" borderId="0" xfId="3" applyNumberFormat="1" applyFont="1" applyFill="1" applyBorder="1"/>
    <xf numFmtId="49" fontId="60" fillId="24" borderId="0" xfId="3" applyNumberFormat="1" applyFont="1" applyFill="1" applyBorder="1" applyAlignment="1" applyProtection="1">
      <alignment horizontal="right"/>
    </xf>
    <xf numFmtId="49" fontId="60" fillId="24" borderId="0" xfId="0" applyNumberFormat="1" applyFont="1" applyFill="1" applyBorder="1" applyAlignment="1" applyProtection="1"/>
    <xf numFmtId="0" fontId="77" fillId="24" borderId="0" xfId="3" applyNumberFormat="1" applyFont="1" applyFill="1" applyBorder="1" applyAlignment="1">
      <alignment horizontal="center"/>
    </xf>
    <xf numFmtId="37" fontId="60" fillId="24" borderId="0" xfId="3" applyNumberFormat="1" applyFont="1" applyFill="1" applyBorder="1" applyAlignment="1"/>
    <xf numFmtId="0" fontId="60" fillId="24" borderId="0" xfId="3" applyNumberFormat="1" applyFont="1" applyFill="1" applyBorder="1" applyAlignment="1">
      <alignment horizontal="left" indent="2"/>
    </xf>
    <xf numFmtId="0" fontId="3" fillId="2" borderId="0" xfId="3" applyNumberFormat="1" applyFont="1" applyBorder="1" applyAlignment="1">
      <alignment horizontal="center"/>
    </xf>
    <xf numFmtId="0" fontId="3" fillId="2" borderId="0" xfId="3" applyNumberFormat="1" applyFont="1" applyBorder="1"/>
    <xf numFmtId="37" fontId="3" fillId="2" borderId="0" xfId="3" applyNumberFormat="1" applyFont="1" applyBorder="1"/>
    <xf numFmtId="37" fontId="3" fillId="2" borderId="0" xfId="3" applyNumberFormat="1" applyFont="1"/>
    <xf numFmtId="37" fontId="81" fillId="2" borderId="0" xfId="3" applyNumberFormat="1" applyFont="1"/>
    <xf numFmtId="37" fontId="3" fillId="2" borderId="0" xfId="0" applyNumberFormat="1" applyFont="1" applyBorder="1"/>
    <xf numFmtId="37" fontId="3" fillId="2" borderId="0" xfId="3" applyNumberFormat="1" applyFont="1" applyAlignment="1">
      <alignment horizontal="center"/>
    </xf>
    <xf numFmtId="0" fontId="3" fillId="2" borderId="0" xfId="3" applyNumberFormat="1" applyFont="1" applyAlignment="1">
      <alignment horizontal="center"/>
    </xf>
    <xf numFmtId="0" fontId="3" fillId="2" borderId="0" xfId="3" applyNumberFormat="1" applyFont="1" applyAlignment="1">
      <alignment horizontal="right"/>
    </xf>
    <xf numFmtId="176" fontId="3" fillId="2" borderId="0" xfId="3" applyNumberFormat="1" applyFont="1" applyBorder="1"/>
    <xf numFmtId="0" fontId="3" fillId="2" borderId="0" xfId="3" applyNumberFormat="1" applyFont="1" applyBorder="1" applyAlignment="1">
      <alignment horizontal="right"/>
    </xf>
    <xf numFmtId="37" fontId="3" fillId="2" borderId="0" xfId="3" applyNumberFormat="1" applyFont="1" applyBorder="1" applyAlignment="1">
      <alignment horizontal="center"/>
    </xf>
    <xf numFmtId="177" fontId="3" fillId="2" borderId="0" xfId="3" applyNumberFormat="1" applyFont="1"/>
    <xf numFmtId="3" fontId="3" fillId="2" borderId="0" xfId="3" applyNumberFormat="1" applyFont="1"/>
    <xf numFmtId="0" fontId="3" fillId="25" borderId="101" xfId="3" applyNumberFormat="1" applyFont="1" applyFill="1" applyBorder="1" applyAlignment="1">
      <alignment horizontal="left" indent="1"/>
    </xf>
    <xf numFmtId="37" fontId="3" fillId="25" borderId="19" xfId="3" applyNumberFormat="1" applyFill="1" applyBorder="1"/>
    <xf numFmtId="37" fontId="3" fillId="25" borderId="8" xfId="3" applyNumberFormat="1" applyFill="1" applyBorder="1"/>
    <xf numFmtId="37" fontId="3" fillId="25" borderId="51" xfId="3" applyNumberFormat="1" applyFill="1" applyBorder="1"/>
    <xf numFmtId="167" fontId="8" fillId="0" borderId="103" xfId="6" applyNumberFormat="1" applyFont="1" applyFill="1" applyBorder="1" applyAlignment="1" applyProtection="1">
      <alignment horizontal="center"/>
    </xf>
    <xf numFmtId="2" fontId="5" fillId="0" borderId="126" xfId="6" applyNumberFormat="1" applyFont="1" applyFill="1" applyBorder="1" applyAlignment="1" applyProtection="1">
      <alignment horizontal="center"/>
    </xf>
    <xf numFmtId="2" fontId="5" fillId="0" borderId="50" xfId="6" applyNumberFormat="1" applyFont="1" applyFill="1" applyBorder="1" applyAlignment="1" applyProtection="1">
      <alignment horizontal="center"/>
    </xf>
    <xf numFmtId="2" fontId="5" fillId="0" borderId="130" xfId="6" applyNumberFormat="1" applyFont="1" applyFill="1" applyBorder="1" applyAlignment="1" applyProtection="1">
      <alignment horizontal="center"/>
    </xf>
    <xf numFmtId="2" fontId="5" fillId="6" borderId="144" xfId="2" applyNumberFormat="1" applyFont="1" applyFill="1" applyBorder="1" applyProtection="1">
      <protection locked="0"/>
    </xf>
    <xf numFmtId="2" fontId="5" fillId="6" borderId="145" xfId="2" applyNumberFormat="1" applyFont="1" applyFill="1" applyBorder="1" applyProtection="1">
      <protection locked="0"/>
    </xf>
    <xf numFmtId="2" fontId="5" fillId="6" borderId="145" xfId="0" applyNumberFormat="1" applyFont="1" applyFill="1" applyBorder="1" applyProtection="1">
      <protection locked="0"/>
    </xf>
    <xf numFmtId="2" fontId="5" fillId="6" borderId="146" xfId="0" applyNumberFormat="1" applyFont="1" applyFill="1" applyBorder="1" applyProtection="1">
      <protection locked="0"/>
    </xf>
    <xf numFmtId="37" fontId="5" fillId="2" borderId="20" xfId="0" applyNumberFormat="1" applyFont="1" applyBorder="1"/>
    <xf numFmtId="37" fontId="5" fillId="2" borderId="45" xfId="0" applyNumberFormat="1" applyFont="1" applyBorder="1"/>
    <xf numFmtId="37" fontId="3" fillId="2" borderId="0" xfId="2" applyNumberFormat="1"/>
    <xf numFmtId="37" fontId="3" fillId="5" borderId="14" xfId="2" applyNumberFormat="1" applyFill="1" applyBorder="1" applyProtection="1">
      <protection locked="0"/>
    </xf>
    <xf numFmtId="37" fontId="3" fillId="2" borderId="0" xfId="2" applyNumberFormat="1" applyAlignment="1" applyProtection="1">
      <alignment horizontal="right"/>
    </xf>
    <xf numFmtId="37" fontId="3" fillId="2" borderId="0" xfId="2" applyNumberFormat="1" applyProtection="1"/>
    <xf numFmtId="37" fontId="12" fillId="2" borderId="0" xfId="2" applyNumberFormat="1" applyFont="1" applyProtection="1"/>
    <xf numFmtId="37" fontId="3" fillId="2" borderId="0" xfId="2" quotePrefix="1" applyNumberFormat="1" applyAlignment="1" applyProtection="1">
      <alignment horizontal="right"/>
    </xf>
    <xf numFmtId="37" fontId="3" fillId="2" borderId="0" xfId="2" applyNumberFormat="1" applyAlignment="1" applyProtection="1">
      <alignment horizontal="center"/>
    </xf>
    <xf numFmtId="37" fontId="8" fillId="2" borderId="0" xfId="2" applyNumberFormat="1" applyFont="1" applyProtection="1"/>
    <xf numFmtId="37" fontId="5" fillId="2" borderId="0" xfId="2" applyNumberFormat="1" applyFont="1" applyAlignment="1" applyProtection="1">
      <alignment horizontal="right"/>
    </xf>
    <xf numFmtId="37" fontId="5" fillId="2" borderId="0" xfId="2" applyNumberFormat="1" applyFont="1" applyBorder="1" applyAlignment="1" applyProtection="1">
      <alignment horizontal="right"/>
    </xf>
    <xf numFmtId="37" fontId="3" fillId="2" borderId="0" xfId="2" applyNumberFormat="1" applyBorder="1" applyAlignment="1" applyProtection="1">
      <alignment horizontal="center"/>
    </xf>
    <xf numFmtId="37" fontId="5" fillId="2" borderId="40" xfId="2" applyNumberFormat="1" applyFont="1" applyBorder="1" applyAlignment="1" applyProtection="1">
      <alignment horizontal="right"/>
    </xf>
    <xf numFmtId="37" fontId="3" fillId="2" borderId="13" xfId="2" applyNumberFormat="1" applyBorder="1" applyAlignment="1" applyProtection="1">
      <alignment horizontal="center"/>
    </xf>
    <xf numFmtId="37" fontId="3" fillId="2" borderId="16" xfId="2" applyNumberFormat="1" applyBorder="1" applyAlignment="1" applyProtection="1">
      <alignment horizontal="center"/>
    </xf>
    <xf numFmtId="37" fontId="60" fillId="2" borderId="0" xfId="2" applyNumberFormat="1" applyFont="1"/>
    <xf numFmtId="37" fontId="3" fillId="13" borderId="33" xfId="2" applyNumberFormat="1" applyFont="1" applyFill="1" applyBorder="1" applyAlignment="1" applyProtection="1">
      <alignment horizontal="right"/>
      <protection locked="0"/>
    </xf>
    <xf numFmtId="37" fontId="3" fillId="13" borderId="107" xfId="4" applyNumberFormat="1" applyFill="1" applyBorder="1" applyAlignment="1" applyProtection="1">
      <alignment horizontal="right"/>
      <protection locked="0"/>
    </xf>
    <xf numFmtId="37" fontId="3" fillId="2" borderId="61" xfId="2" applyNumberFormat="1" applyBorder="1" applyAlignment="1" applyProtection="1">
      <alignment horizontal="center"/>
    </xf>
    <xf numFmtId="37" fontId="3" fillId="13" borderId="106" xfId="2" applyNumberFormat="1" applyFont="1" applyFill="1" applyBorder="1" applyAlignment="1" applyProtection="1">
      <alignment horizontal="right"/>
      <protection locked="0"/>
    </xf>
    <xf numFmtId="37" fontId="3" fillId="2" borderId="15" xfId="2" applyNumberFormat="1" applyBorder="1" applyAlignment="1" applyProtection="1">
      <alignment horizontal="center"/>
    </xf>
    <xf numFmtId="37" fontId="8" fillId="2" borderId="14" xfId="2" applyNumberFormat="1" applyFont="1" applyBorder="1" applyAlignment="1" applyProtection="1">
      <alignment horizontal="center"/>
    </xf>
    <xf numFmtId="37" fontId="8" fillId="2" borderId="13" xfId="2" applyNumberFormat="1" applyFont="1" applyBorder="1" applyAlignment="1" applyProtection="1">
      <alignment horizontal="right"/>
    </xf>
    <xf numFmtId="37" fontId="3" fillId="2" borderId="13" xfId="2" applyNumberFormat="1" applyBorder="1" applyProtection="1"/>
    <xf numFmtId="37" fontId="5" fillId="2" borderId="0" xfId="2" applyNumberFormat="1" applyFont="1" applyAlignment="1" applyProtection="1">
      <alignment horizontal="center"/>
    </xf>
    <xf numFmtId="37" fontId="5" fillId="2" borderId="0" xfId="2" applyNumberFormat="1" applyFont="1" applyProtection="1"/>
    <xf numFmtId="5" fontId="3" fillId="2" borderId="35" xfId="2" applyNumberFormat="1" applyBorder="1" applyAlignment="1" applyProtection="1">
      <alignment horizontal="left"/>
    </xf>
    <xf numFmtId="39" fontId="3" fillId="2" borderId="35" xfId="2" applyNumberFormat="1" applyBorder="1" applyAlignment="1" applyProtection="1">
      <alignment horizontal="left"/>
    </xf>
    <xf numFmtId="37" fontId="3" fillId="2" borderId="35" xfId="2" applyNumberFormat="1" applyBorder="1" applyProtection="1"/>
    <xf numFmtId="37" fontId="3" fillId="2" borderId="35" xfId="2" applyNumberFormat="1" applyBorder="1"/>
    <xf numFmtId="37" fontId="3" fillId="2" borderId="35" xfId="2" applyNumberFormat="1" applyBorder="1" applyAlignment="1" applyProtection="1">
      <alignment horizontal="left"/>
    </xf>
    <xf numFmtId="37" fontId="3" fillId="2" borderId="0" xfId="2" applyNumberFormat="1" applyAlignment="1">
      <alignment horizontal="right"/>
    </xf>
    <xf numFmtId="37" fontId="3" fillId="2" borderId="13" xfId="2" applyNumberFormat="1" applyBorder="1"/>
    <xf numFmtId="37" fontId="3" fillId="2" borderId="13" xfId="2" applyNumberFormat="1" applyBorder="1" applyAlignment="1" applyProtection="1">
      <alignment horizontal="left"/>
    </xf>
    <xf numFmtId="37" fontId="8" fillId="2" borderId="0" xfId="2" applyNumberFormat="1" applyFont="1" applyAlignment="1" applyProtection="1">
      <alignment horizontal="centerContinuous"/>
    </xf>
    <xf numFmtId="37" fontId="18" fillId="2" borderId="0" xfId="2" applyNumberFormat="1" applyFont="1" applyAlignment="1">
      <alignment horizontal="left"/>
    </xf>
    <xf numFmtId="37" fontId="8" fillId="2" borderId="0" xfId="2" applyNumberFormat="1" applyFont="1" applyAlignment="1">
      <alignment horizontal="centerContinuous"/>
    </xf>
    <xf numFmtId="37" fontId="8" fillId="2" borderId="0" xfId="2" applyNumberFormat="1" applyFont="1" applyAlignment="1">
      <alignment horizontal="center"/>
    </xf>
    <xf numFmtId="37" fontId="83" fillId="2" borderId="0" xfId="2" applyNumberFormat="1" applyFont="1"/>
    <xf numFmtId="37" fontId="83" fillId="2" borderId="0" xfId="2" applyNumberFormat="1" applyFont="1" applyProtection="1"/>
    <xf numFmtId="39" fontId="3" fillId="13" borderId="14" xfId="4" applyNumberFormat="1" applyFill="1" applyBorder="1" applyAlignment="1" applyProtection="1">
      <alignment horizontal="right"/>
      <protection locked="0"/>
    </xf>
    <xf numFmtId="37" fontId="59" fillId="2" borderId="0" xfId="2" applyNumberFormat="1" applyFont="1" applyAlignment="1" applyProtection="1">
      <alignment horizontal="center"/>
    </xf>
    <xf numFmtId="37" fontId="60" fillId="2" borderId="61" xfId="2" applyNumberFormat="1" applyFont="1" applyBorder="1" applyProtection="1"/>
    <xf numFmtId="37" fontId="59" fillId="2" borderId="0" xfId="2" applyNumberFormat="1" applyFont="1" applyBorder="1" applyAlignment="1" applyProtection="1">
      <alignment horizontal="center"/>
    </xf>
    <xf numFmtId="37" fontId="60" fillId="2" borderId="31" xfId="2" applyNumberFormat="1" applyFont="1" applyBorder="1" applyProtection="1"/>
    <xf numFmtId="37" fontId="60" fillId="2" borderId="0" xfId="2" applyNumberFormat="1" applyFont="1" applyBorder="1" applyProtection="1"/>
    <xf numFmtId="37" fontId="60" fillId="2" borderId="0" xfId="2" applyNumberFormat="1" applyFont="1" applyProtection="1"/>
    <xf numFmtId="37" fontId="3" fillId="6" borderId="20" xfId="3" applyNumberFormat="1" applyFill="1" applyBorder="1" applyProtection="1"/>
    <xf numFmtId="167" fontId="29" fillId="9" borderId="0" xfId="3" applyNumberFormat="1" applyFont="1" applyFill="1"/>
    <xf numFmtId="37" fontId="29" fillId="9" borderId="0" xfId="0" applyFont="1" applyFill="1"/>
    <xf numFmtId="37" fontId="29" fillId="9" borderId="0" xfId="0" applyFont="1" applyFill="1" applyAlignment="1">
      <alignment horizontal="center"/>
    </xf>
    <xf numFmtId="169" fontId="3" fillId="9" borderId="0" xfId="3" applyNumberFormat="1" applyFill="1"/>
    <xf numFmtId="169" fontId="3" fillId="18" borderId="0" xfId="3" applyNumberFormat="1" applyFill="1" applyAlignment="1">
      <alignment horizontal="center"/>
    </xf>
    <xf numFmtId="167" fontId="3" fillId="18" borderId="0" xfId="3" applyNumberFormat="1" applyFill="1"/>
    <xf numFmtId="167" fontId="0" fillId="18" borderId="0" xfId="0" applyNumberFormat="1" applyFill="1"/>
    <xf numFmtId="167" fontId="0" fillId="18" borderId="0" xfId="0" applyNumberFormat="1" applyFill="1" applyAlignment="1">
      <alignment horizontal="right"/>
    </xf>
    <xf numFmtId="37" fontId="3" fillId="2" borderId="17" xfId="4" applyNumberFormat="1" applyBorder="1" applyAlignment="1">
      <alignment horizontal="right"/>
    </xf>
    <xf numFmtId="37" fontId="0" fillId="2" borderId="0" xfId="0" applyNumberFormat="1" applyAlignment="1">
      <alignment wrapText="1"/>
    </xf>
    <xf numFmtId="37" fontId="66" fillId="2" borderId="0" xfId="0" applyNumberFormat="1" applyFont="1" applyAlignment="1">
      <alignment horizontal="center" vertical="center" wrapText="1"/>
    </xf>
    <xf numFmtId="37" fontId="67" fillId="2" borderId="0" xfId="0" applyNumberFormat="1" applyFont="1" applyAlignment="1">
      <alignment horizontal="center" vertical="center"/>
    </xf>
    <xf numFmtId="37" fontId="68" fillId="2" borderId="0" xfId="0" applyNumberFormat="1" applyFont="1" applyAlignment="1">
      <alignment horizontal="center" vertical="center"/>
    </xf>
    <xf numFmtId="37" fontId="5" fillId="2" borderId="54" xfId="0" applyNumberFormat="1" applyFont="1" applyBorder="1" applyAlignment="1"/>
    <xf numFmtId="37" fontId="5" fillId="2" borderId="22" xfId="0" applyNumberFormat="1" applyFont="1" applyBorder="1" applyAlignment="1"/>
    <xf numFmtId="37" fontId="5" fillId="2" borderId="64" xfId="0" applyNumberFormat="1" applyFont="1" applyBorder="1" applyAlignment="1"/>
    <xf numFmtId="37" fontId="5" fillId="2" borderId="133" xfId="0" applyNumberFormat="1" applyFont="1" applyBorder="1" applyAlignment="1"/>
    <xf numFmtId="37" fontId="24" fillId="2" borderId="31" xfId="0" applyNumberFormat="1" applyFont="1" applyBorder="1" applyAlignment="1">
      <alignment horizontal="center" vertical="center"/>
    </xf>
    <xf numFmtId="37" fontId="0" fillId="2" borderId="11" xfId="0" applyNumberFormat="1" applyBorder="1" applyAlignment="1">
      <alignment horizontal="center" vertical="center"/>
    </xf>
    <xf numFmtId="37" fontId="24" fillId="2" borderId="31" xfId="0" applyNumberFormat="1" applyFont="1" applyBorder="1" applyAlignment="1" applyProtection="1">
      <alignment horizontal="center"/>
    </xf>
    <xf numFmtId="37" fontId="16" fillId="2" borderId="0" xfId="0" applyNumberFormat="1" applyFont="1" applyAlignment="1">
      <alignment horizontal="center"/>
    </xf>
    <xf numFmtId="37" fontId="10" fillId="2" borderId="0" xfId="0" applyNumberFormat="1" applyFont="1" applyBorder="1" applyAlignment="1">
      <alignment horizontal="center"/>
    </xf>
    <xf numFmtId="37" fontId="10" fillId="2" borderId="11" xfId="0" applyNumberFormat="1" applyFont="1" applyBorder="1" applyAlignment="1">
      <alignment horizontal="center"/>
    </xf>
    <xf numFmtId="37" fontId="5" fillId="0" borderId="28" xfId="0" applyNumberFormat="1" applyFont="1" applyFill="1" applyBorder="1" applyAlignment="1" applyProtection="1">
      <alignment horizontal="right"/>
    </xf>
    <xf numFmtId="37" fontId="0" fillId="0" borderId="1" xfId="0" applyNumberFormat="1" applyFill="1" applyBorder="1" applyAlignment="1">
      <alignment horizontal="right"/>
    </xf>
    <xf numFmtId="37" fontId="10" fillId="2" borderId="2" xfId="0" applyNumberFormat="1" applyFont="1" applyBorder="1" applyAlignment="1">
      <alignment horizontal="center"/>
    </xf>
    <xf numFmtId="37" fontId="10" fillId="2" borderId="12" xfId="0" applyNumberFormat="1" applyFont="1" applyBorder="1" applyAlignment="1">
      <alignment horizontal="center"/>
    </xf>
    <xf numFmtId="0" fontId="10" fillId="2" borderId="30" xfId="0" applyNumberFormat="1" applyFont="1" applyBorder="1" applyAlignment="1">
      <alignment horizontal="center" vertical="center"/>
    </xf>
    <xf numFmtId="37" fontId="4" fillId="2" borderId="30" xfId="0" applyNumberFormat="1" applyFont="1" applyBorder="1" applyAlignment="1" applyProtection="1">
      <alignment horizontal="center"/>
    </xf>
    <xf numFmtId="37" fontId="4" fillId="2" borderId="9" xfId="0" applyNumberFormat="1" applyFont="1" applyBorder="1" applyAlignment="1" applyProtection="1">
      <alignment horizontal="center"/>
    </xf>
    <xf numFmtId="37" fontId="0" fillId="2" borderId="9" xfId="0" applyNumberFormat="1" applyBorder="1" applyAlignment="1" applyProtection="1">
      <alignment horizontal="center"/>
    </xf>
    <xf numFmtId="37" fontId="5" fillId="2" borderId="34" xfId="0" applyNumberFormat="1" applyFont="1" applyBorder="1" applyAlignment="1"/>
    <xf numFmtId="37" fontId="5" fillId="2" borderId="21" xfId="0" applyNumberFormat="1" applyFont="1" applyBorder="1" applyAlignment="1"/>
    <xf numFmtId="37" fontId="5" fillId="2" borderId="0" xfId="0" applyNumberFormat="1" applyFont="1" applyAlignment="1">
      <alignment horizontal="right"/>
    </xf>
    <xf numFmtId="37" fontId="0" fillId="2" borderId="0" xfId="0" applyNumberFormat="1" applyAlignment="1"/>
    <xf numFmtId="37" fontId="15" fillId="2" borderId="0" xfId="0" applyNumberFormat="1" applyFont="1" applyAlignment="1">
      <alignment horizontal="left"/>
    </xf>
    <xf numFmtId="37" fontId="0" fillId="2" borderId="0" xfId="0" applyNumberFormat="1" applyAlignment="1">
      <alignment horizontal="left"/>
    </xf>
    <xf numFmtId="37" fontId="15" fillId="2" borderId="0" xfId="0" applyNumberFormat="1" applyFont="1" applyBorder="1" applyAlignment="1">
      <alignment horizontal="center"/>
    </xf>
    <xf numFmtId="37" fontId="24" fillId="2" borderId="0" xfId="0" applyNumberFormat="1" applyFont="1" applyBorder="1" applyAlignment="1">
      <alignment horizontal="center" vertical="center" wrapText="1"/>
    </xf>
    <xf numFmtId="0" fontId="37" fillId="2" borderId="0" xfId="0" applyNumberFormat="1" applyFont="1" applyBorder="1" applyAlignment="1">
      <alignment horizontal="center" vertical="center" wrapText="1"/>
    </xf>
    <xf numFmtId="0" fontId="9" fillId="2" borderId="0" xfId="0" applyNumberFormat="1" applyFont="1" applyAlignment="1">
      <alignment horizontal="center" vertical="center" wrapText="1"/>
    </xf>
    <xf numFmtId="0" fontId="37" fillId="2" borderId="0" xfId="0" applyNumberFormat="1" applyFont="1" applyBorder="1" applyAlignment="1">
      <alignment horizontal="center" wrapText="1"/>
    </xf>
    <xf numFmtId="37" fontId="0" fillId="2" borderId="0" xfId="0" applyNumberFormat="1" applyAlignment="1">
      <alignment horizontal="center" wrapText="1"/>
    </xf>
    <xf numFmtId="37" fontId="10" fillId="2" borderId="9" xfId="0" applyNumberFormat="1" applyFont="1" applyBorder="1" applyAlignment="1">
      <alignment horizontal="center"/>
    </xf>
    <xf numFmtId="37" fontId="10" fillId="2" borderId="10" xfId="0" applyNumberFormat="1" applyFont="1" applyBorder="1" applyAlignment="1">
      <alignment horizontal="center"/>
    </xf>
    <xf numFmtId="37" fontId="24" fillId="2" borderId="32" xfId="0" applyNumberFormat="1" applyFont="1" applyBorder="1" applyAlignment="1" applyProtection="1">
      <alignment horizontal="right"/>
    </xf>
    <xf numFmtId="37" fontId="16" fillId="2" borderId="2" xfId="0" applyNumberFormat="1" applyFont="1" applyBorder="1" applyAlignment="1">
      <alignment horizontal="right"/>
    </xf>
    <xf numFmtId="37" fontId="5" fillId="2" borderId="24" xfId="0" applyNumberFormat="1" applyFont="1" applyBorder="1" applyAlignment="1">
      <alignment horizontal="left" indent="1"/>
    </xf>
    <xf numFmtId="37" fontId="5" fillId="2" borderId="0" xfId="0" applyNumberFormat="1" applyFont="1" applyBorder="1" applyAlignment="1">
      <alignment horizontal="left" indent="1"/>
    </xf>
    <xf numFmtId="37" fontId="0" fillId="2" borderId="23" xfId="0" applyNumberFormat="1" applyBorder="1" applyAlignment="1">
      <alignment horizontal="left" indent="1"/>
    </xf>
    <xf numFmtId="37" fontId="5" fillId="2" borderId="0" xfId="0" applyNumberFormat="1" applyFont="1" applyAlignment="1">
      <alignment horizontal="left" indent="1"/>
    </xf>
    <xf numFmtId="37" fontId="5" fillId="2" borderId="23" xfId="0" applyNumberFormat="1" applyFont="1" applyBorder="1" applyAlignment="1">
      <alignment horizontal="left" indent="1"/>
    </xf>
    <xf numFmtId="37" fontId="5" fillId="2" borderId="81" xfId="0" applyNumberFormat="1" applyFont="1" applyBorder="1" applyAlignment="1">
      <alignment horizontal="center" vertical="top"/>
    </xf>
    <xf numFmtId="37" fontId="5" fillId="2" borderId="98" xfId="0" applyNumberFormat="1" applyFont="1" applyBorder="1" applyAlignment="1">
      <alignment horizontal="center" vertical="top"/>
    </xf>
    <xf numFmtId="37" fontId="5" fillId="2" borderId="82" xfId="0" applyNumberFormat="1" applyFont="1" applyBorder="1" applyAlignment="1">
      <alignment horizontal="center" vertical="top"/>
    </xf>
    <xf numFmtId="37" fontId="5" fillId="2" borderId="24" xfId="0" applyNumberFormat="1" applyFont="1" applyBorder="1" applyAlignment="1">
      <alignment horizontal="left" vertical="center" indent="1"/>
    </xf>
    <xf numFmtId="37" fontId="5" fillId="2" borderId="0" xfId="0" applyNumberFormat="1" applyFont="1" applyBorder="1" applyAlignment="1">
      <alignment horizontal="left" vertical="center" indent="1"/>
    </xf>
    <xf numFmtId="37" fontId="5" fillId="2" borderId="23" xfId="0" applyNumberFormat="1" applyFont="1" applyBorder="1" applyAlignment="1">
      <alignment horizontal="left" vertical="center" indent="1"/>
    </xf>
    <xf numFmtId="37" fontId="5" fillId="2" borderId="24" xfId="0" applyNumberFormat="1" applyFont="1" applyBorder="1" applyAlignment="1">
      <alignment horizontal="center"/>
    </xf>
    <xf numFmtId="37" fontId="5" fillId="2" borderId="0" xfId="0" applyNumberFormat="1" applyFont="1" applyBorder="1" applyAlignment="1">
      <alignment horizontal="center"/>
    </xf>
    <xf numFmtId="37" fontId="5" fillId="2" borderId="23" xfId="0" applyNumberFormat="1" applyFont="1" applyBorder="1" applyAlignment="1">
      <alignment horizontal="center"/>
    </xf>
    <xf numFmtId="37" fontId="5" fillId="2" borderId="2" xfId="0" applyNumberFormat="1" applyFont="1" applyBorder="1" applyAlignment="1" applyProtection="1">
      <alignment horizontal="left"/>
    </xf>
    <xf numFmtId="37" fontId="5" fillId="2" borderId="76" xfId="0" applyNumberFormat="1" applyFont="1" applyBorder="1" applyAlignment="1" applyProtection="1">
      <alignment horizontal="right"/>
    </xf>
    <xf numFmtId="37" fontId="5" fillId="2" borderId="1" xfId="0" applyNumberFormat="1" applyFont="1" applyBorder="1" applyAlignment="1" applyProtection="1">
      <alignment horizontal="right"/>
    </xf>
    <xf numFmtId="37" fontId="4" fillId="2" borderId="0" xfId="0" applyNumberFormat="1" applyFont="1" applyAlignment="1">
      <alignment horizontal="center"/>
    </xf>
    <xf numFmtId="37" fontId="10" fillId="2" borderId="79" xfId="0" applyNumberFormat="1" applyFont="1" applyBorder="1" applyAlignment="1">
      <alignment horizontal="center"/>
    </xf>
    <xf numFmtId="37" fontId="0" fillId="2" borderId="108" xfId="0" applyNumberFormat="1" applyBorder="1" applyAlignment="1"/>
    <xf numFmtId="37" fontId="0" fillId="2" borderId="80" xfId="0" applyNumberFormat="1" applyBorder="1" applyAlignment="1"/>
    <xf numFmtId="37" fontId="10" fillId="2" borderId="79" xfId="0" applyNumberFormat="1" applyFont="1" applyBorder="1" applyAlignment="1"/>
    <xf numFmtId="37" fontId="5" fillId="2" borderId="0" xfId="0" applyNumberFormat="1" applyFont="1" applyAlignment="1">
      <alignment horizontal="left" vertical="center" indent="1"/>
    </xf>
    <xf numFmtId="0" fontId="5" fillId="2" borderId="24" xfId="0" applyNumberFormat="1" applyFont="1" applyBorder="1" applyAlignment="1">
      <alignment horizontal="left" indent="1"/>
    </xf>
    <xf numFmtId="0" fontId="5" fillId="2" borderId="0" xfId="0" applyNumberFormat="1" applyFont="1" applyBorder="1" applyAlignment="1">
      <alignment horizontal="left" indent="1"/>
    </xf>
    <xf numFmtId="37" fontId="5" fillId="2" borderId="23" xfId="0" applyNumberFormat="1" applyFont="1" applyBorder="1" applyAlignment="1">
      <alignment horizontal="left"/>
    </xf>
    <xf numFmtId="37" fontId="9" fillId="2" borderId="2" xfId="0" applyNumberFormat="1" applyFont="1" applyBorder="1" applyAlignment="1">
      <alignment horizontal="left" vertical="top"/>
    </xf>
    <xf numFmtId="37" fontId="0" fillId="2" borderId="2" xfId="0" applyNumberFormat="1" applyBorder="1" applyAlignment="1">
      <alignment horizontal="left"/>
    </xf>
    <xf numFmtId="37" fontId="4" fillId="2" borderId="0" xfId="0" applyNumberFormat="1" applyFont="1" applyAlignment="1" applyProtection="1">
      <alignment horizontal="center"/>
    </xf>
    <xf numFmtId="37" fontId="0" fillId="2" borderId="0" xfId="0" applyNumberFormat="1" applyAlignment="1" applyProtection="1">
      <alignment horizontal="center"/>
    </xf>
    <xf numFmtId="37" fontId="24" fillId="2" borderId="32" xfId="0" applyNumberFormat="1" applyFont="1" applyBorder="1" applyAlignment="1" applyProtection="1">
      <alignment horizontal="center"/>
    </xf>
    <xf numFmtId="37" fontId="16" fillId="2" borderId="2" xfId="0" applyNumberFormat="1" applyFont="1" applyBorder="1" applyAlignment="1">
      <alignment horizontal="center"/>
    </xf>
    <xf numFmtId="37" fontId="8" fillId="2" borderId="0" xfId="0" applyNumberFormat="1" applyFont="1" applyAlignment="1">
      <alignment horizontal="left"/>
    </xf>
    <xf numFmtId="37" fontId="5" fillId="2" borderId="76" xfId="0" applyFont="1" applyBorder="1" applyAlignment="1" applyProtection="1"/>
    <xf numFmtId="37" fontId="0" fillId="2" borderId="1" xfId="0" applyNumberFormat="1" applyBorder="1" applyAlignment="1"/>
    <xf numFmtId="37" fontId="5" fillId="2" borderId="115" xfId="0" applyNumberFormat="1" applyFont="1" applyBorder="1" applyAlignment="1" applyProtection="1">
      <alignment horizontal="right"/>
    </xf>
    <xf numFmtId="37" fontId="5" fillId="2" borderId="33" xfId="0" applyNumberFormat="1" applyFont="1" applyBorder="1" applyAlignment="1" applyProtection="1">
      <alignment horizontal="right"/>
    </xf>
    <xf numFmtId="37" fontId="5" fillId="2" borderId="124" xfId="0" applyNumberFormat="1" applyFont="1" applyBorder="1" applyAlignment="1" applyProtection="1">
      <alignment horizontal="right"/>
    </xf>
    <xf numFmtId="37" fontId="5" fillId="2" borderId="125" xfId="0" applyNumberFormat="1" applyFont="1" applyBorder="1" applyAlignment="1" applyProtection="1">
      <alignment horizontal="right"/>
    </xf>
    <xf numFmtId="37" fontId="5" fillId="2" borderId="28" xfId="0" applyNumberFormat="1" applyFont="1" applyBorder="1" applyAlignment="1" applyProtection="1">
      <alignment horizontal="right"/>
    </xf>
    <xf numFmtId="49" fontId="5" fillId="6" borderId="13" xfId="2" applyNumberFormat="1" applyFont="1" applyFill="1" applyBorder="1" applyAlignment="1" applyProtection="1">
      <protection locked="0"/>
    </xf>
    <xf numFmtId="49" fontId="3" fillId="6" borderId="13" xfId="2" applyNumberFormat="1" applyFill="1" applyBorder="1" applyAlignment="1" applyProtection="1">
      <protection locked="0"/>
    </xf>
    <xf numFmtId="37" fontId="38" fillId="2" borderId="0" xfId="0" applyNumberFormat="1" applyFont="1" applyAlignment="1" applyProtection="1"/>
    <xf numFmtId="37" fontId="28" fillId="5" borderId="114" xfId="0" applyFont="1" applyFill="1" applyBorder="1" applyAlignment="1">
      <alignment horizontal="left"/>
    </xf>
    <xf numFmtId="37" fontId="28" fillId="5" borderId="115" xfId="0" applyFont="1" applyFill="1" applyBorder="1" applyAlignment="1">
      <alignment horizontal="left"/>
    </xf>
    <xf numFmtId="37" fontId="28" fillId="5" borderId="116" xfId="0" applyFont="1" applyFill="1" applyBorder="1" applyAlignment="1">
      <alignment horizontal="left"/>
    </xf>
    <xf numFmtId="37" fontId="28" fillId="5" borderId="117" xfId="0" applyFont="1" applyFill="1" applyBorder="1" applyAlignment="1">
      <alignment horizontal="left"/>
    </xf>
    <xf numFmtId="37" fontId="28" fillId="5" borderId="110" xfId="0" applyFont="1" applyFill="1" applyBorder="1" applyAlignment="1">
      <alignment horizontal="left"/>
    </xf>
    <xf numFmtId="37" fontId="8" fillId="2" borderId="35" xfId="0" applyFont="1" applyBorder="1" applyAlignment="1">
      <alignment horizontal="left"/>
    </xf>
    <xf numFmtId="37" fontId="28" fillId="5" borderId="79" xfId="0" applyFont="1" applyFill="1" applyBorder="1" applyAlignment="1">
      <alignment horizontal="center" wrapText="1"/>
    </xf>
    <xf numFmtId="37" fontId="9" fillId="2" borderId="108" xfId="0" applyFont="1" applyBorder="1" applyAlignment="1">
      <alignment horizontal="center" wrapText="1"/>
    </xf>
    <xf numFmtId="37" fontId="9" fillId="2" borderId="80" xfId="0" applyFont="1" applyBorder="1" applyAlignment="1">
      <alignment horizontal="center" wrapText="1"/>
    </xf>
    <xf numFmtId="37" fontId="55" fillId="5" borderId="24" xfId="0" applyFont="1" applyFill="1" applyBorder="1" applyAlignment="1">
      <alignment horizontal="center" vertical="top" wrapText="1"/>
    </xf>
    <xf numFmtId="37" fontId="8" fillId="2" borderId="0" xfId="0" applyFont="1" applyBorder="1" applyAlignment="1">
      <alignment horizontal="center" vertical="top" wrapText="1"/>
    </xf>
    <xf numFmtId="37" fontId="8" fillId="2" borderId="23" xfId="0" applyFont="1" applyBorder="1" applyAlignment="1">
      <alignment horizontal="center" vertical="top" wrapText="1"/>
    </xf>
    <xf numFmtId="37" fontId="8" fillId="2" borderId="118" xfId="0" applyFont="1" applyBorder="1" applyAlignment="1">
      <alignment horizontal="center" vertical="top" wrapText="1"/>
    </xf>
    <xf numFmtId="37" fontId="8" fillId="2" borderId="13" xfId="0" applyFont="1" applyBorder="1" applyAlignment="1">
      <alignment horizontal="center" vertical="top" wrapText="1"/>
    </xf>
    <xf numFmtId="37" fontId="9" fillId="5" borderId="110" xfId="0" applyFont="1" applyFill="1" applyBorder="1" applyAlignment="1">
      <alignment horizontal="left"/>
    </xf>
    <xf numFmtId="37" fontId="9" fillId="5" borderId="35" xfId="0" applyFont="1" applyFill="1" applyBorder="1" applyAlignment="1">
      <alignment horizontal="left"/>
    </xf>
    <xf numFmtId="37" fontId="5" fillId="3" borderId="2" xfId="0" applyNumberFormat="1" applyFont="1" applyFill="1" applyBorder="1" applyAlignment="1" applyProtection="1">
      <alignment horizontal="left"/>
    </xf>
    <xf numFmtId="37" fontId="5" fillId="3" borderId="29" xfId="0" applyNumberFormat="1" applyFont="1" applyFill="1" applyBorder="1" applyAlignment="1" applyProtection="1">
      <alignment horizontal="left"/>
    </xf>
    <xf numFmtId="37" fontId="5" fillId="2" borderId="28" xfId="0" applyNumberFormat="1" applyFont="1" applyBorder="1" applyAlignment="1" applyProtection="1">
      <alignment horizontal="left"/>
    </xf>
    <xf numFmtId="37" fontId="0" fillId="2" borderId="29" xfId="0" applyNumberFormat="1" applyBorder="1" applyAlignment="1" applyProtection="1"/>
    <xf numFmtId="37" fontId="9" fillId="2" borderId="24" xfId="0" applyNumberFormat="1" applyFont="1" applyBorder="1" applyAlignment="1">
      <alignment horizontal="left" wrapText="1" indent="1"/>
    </xf>
    <xf numFmtId="37" fontId="0" fillId="2" borderId="23" xfId="0" applyNumberFormat="1" applyBorder="1" applyAlignment="1"/>
    <xf numFmtId="37" fontId="9" fillId="2" borderId="24" xfId="0" applyNumberFormat="1" applyFont="1" applyBorder="1" applyAlignment="1">
      <alignment horizontal="left" indent="1"/>
    </xf>
    <xf numFmtId="37" fontId="5" fillId="6" borderId="13" xfId="0" applyNumberFormat="1" applyFont="1" applyFill="1" applyBorder="1" applyAlignment="1" applyProtection="1">
      <alignment horizontal="left"/>
    </xf>
    <xf numFmtId="0" fontId="5" fillId="6" borderId="13" xfId="0" applyNumberFormat="1" applyFont="1" applyFill="1" applyBorder="1" applyAlignment="1" applyProtection="1">
      <alignment horizontal="left"/>
    </xf>
    <xf numFmtId="0" fontId="0" fillId="6" borderId="13" xfId="0" applyNumberFormat="1" applyFill="1" applyBorder="1" applyAlignment="1" applyProtection="1">
      <alignment horizontal="left"/>
    </xf>
    <xf numFmtId="37" fontId="4" fillId="5" borderId="0" xfId="0" applyNumberFormat="1" applyFont="1" applyFill="1" applyAlignment="1">
      <alignment horizontal="center"/>
    </xf>
    <xf numFmtId="37" fontId="0" fillId="5" borderId="0" xfId="0" applyNumberFormat="1" applyFill="1" applyAlignment="1"/>
    <xf numFmtId="37" fontId="10" fillId="3" borderId="79" xfId="0" applyNumberFormat="1" applyFont="1" applyFill="1" applyBorder="1" applyAlignment="1">
      <alignment horizontal="center"/>
    </xf>
    <xf numFmtId="37" fontId="0" fillId="3" borderId="80" xfId="0" applyNumberFormat="1" applyFill="1" applyBorder="1" applyAlignment="1"/>
    <xf numFmtId="37" fontId="10" fillId="2" borderId="81" xfId="0" applyNumberFormat="1" applyFont="1" applyBorder="1" applyAlignment="1">
      <alignment horizontal="center"/>
    </xf>
    <xf numFmtId="37" fontId="0" fillId="2" borderId="82" xfId="0" applyNumberFormat="1" applyBorder="1" applyAlignment="1"/>
    <xf numFmtId="37" fontId="4" fillId="5" borderId="0" xfId="0" applyNumberFormat="1" applyFont="1" applyFill="1" applyAlignment="1" applyProtection="1">
      <alignment horizontal="center"/>
    </xf>
    <xf numFmtId="37" fontId="0" fillId="5" borderId="0" xfId="0" applyNumberFormat="1" applyFill="1" applyAlignment="1" applyProtection="1">
      <alignment horizontal="center"/>
    </xf>
    <xf numFmtId="37" fontId="0" fillId="2" borderId="10" xfId="0" applyNumberFormat="1" applyBorder="1" applyAlignment="1" applyProtection="1">
      <alignment horizontal="center"/>
    </xf>
    <xf numFmtId="37" fontId="4" fillId="2" borderId="30" xfId="0" applyNumberFormat="1" applyFont="1" applyBorder="1" applyAlignment="1" applyProtection="1"/>
    <xf numFmtId="37" fontId="0" fillId="2" borderId="10" xfId="0" applyNumberFormat="1" applyBorder="1" applyAlignment="1" applyProtection="1"/>
    <xf numFmtId="37" fontId="5" fillId="2" borderId="31" xfId="0" applyNumberFormat="1" applyFont="1" applyBorder="1" applyAlignment="1" applyProtection="1"/>
    <xf numFmtId="37" fontId="0" fillId="2" borderId="11" xfId="0" applyNumberFormat="1" applyBorder="1" applyAlignment="1" applyProtection="1"/>
    <xf numFmtId="37" fontId="4" fillId="2" borderId="28" xfId="0" applyNumberFormat="1" applyFont="1" applyBorder="1" applyAlignment="1">
      <alignment horizontal="center"/>
    </xf>
    <xf numFmtId="37" fontId="0" fillId="2" borderId="1" xfId="0" applyNumberFormat="1" applyBorder="1" applyAlignment="1">
      <alignment horizontal="center"/>
    </xf>
    <xf numFmtId="37" fontId="5" fillId="2" borderId="30" xfId="0" applyNumberFormat="1" applyFont="1" applyBorder="1" applyAlignment="1">
      <alignment horizontal="center"/>
    </xf>
    <xf numFmtId="37" fontId="14" fillId="2" borderId="10" xfId="0" applyNumberFormat="1" applyFont="1" applyBorder="1" applyAlignment="1">
      <alignment horizontal="center"/>
    </xf>
    <xf numFmtId="37" fontId="5" fillId="5" borderId="0" xfId="0" applyNumberFormat="1" applyFont="1" applyFill="1" applyAlignment="1">
      <alignment horizontal="right"/>
    </xf>
    <xf numFmtId="37" fontId="9" fillId="2" borderId="24" xfId="0" applyNumberFormat="1" applyFont="1" applyBorder="1" applyAlignment="1">
      <alignment horizontal="center" wrapText="1"/>
    </xf>
    <xf numFmtId="37" fontId="0" fillId="2" borderId="81" xfId="0" applyNumberFormat="1" applyBorder="1" applyAlignment="1"/>
    <xf numFmtId="37" fontId="5" fillId="5" borderId="0" xfId="0" applyNumberFormat="1" applyFont="1" applyFill="1" applyBorder="1" applyAlignment="1"/>
    <xf numFmtId="37" fontId="0" fillId="2" borderId="1" xfId="0" applyNumberFormat="1" applyBorder="1" applyAlignment="1" applyProtection="1"/>
    <xf numFmtId="37" fontId="5" fillId="3" borderId="35" xfId="0" applyNumberFormat="1" applyFont="1" applyFill="1" applyBorder="1" applyAlignment="1" applyProtection="1">
      <alignment horizontal="left"/>
    </xf>
    <xf numFmtId="37" fontId="0" fillId="2" borderId="35" xfId="0" applyNumberFormat="1" applyBorder="1" applyAlignment="1"/>
    <xf numFmtId="37" fontId="5" fillId="3" borderId="13" xfId="0" applyNumberFormat="1" applyFont="1" applyFill="1" applyBorder="1" applyAlignment="1" applyProtection="1">
      <alignment horizontal="left"/>
    </xf>
    <xf numFmtId="37" fontId="0" fillId="2" borderId="13" xfId="0" applyNumberFormat="1" applyBorder="1" applyAlignment="1"/>
    <xf numFmtId="37" fontId="8" fillId="2" borderId="16" xfId="2" applyNumberFormat="1" applyFont="1" applyBorder="1" applyAlignment="1" applyProtection="1">
      <alignment horizontal="center"/>
    </xf>
    <xf numFmtId="37" fontId="8" fillId="2" borderId="13" xfId="2" applyNumberFormat="1" applyFont="1" applyBorder="1" applyAlignment="1" applyProtection="1">
      <alignment horizontal="center"/>
    </xf>
    <xf numFmtId="37" fontId="5" fillId="2" borderId="0" xfId="2" applyNumberFormat="1" applyFont="1" applyAlignment="1" applyProtection="1">
      <alignment horizontal="center"/>
    </xf>
    <xf numFmtId="37" fontId="59" fillId="2" borderId="0" xfId="2" applyNumberFormat="1" applyFont="1" applyAlignment="1" applyProtection="1">
      <alignment horizontal="center"/>
    </xf>
    <xf numFmtId="49" fontId="60" fillId="24" borderId="0" xfId="0" applyNumberFormat="1" applyFont="1" applyFill="1" applyBorder="1" applyAlignment="1" applyProtection="1">
      <alignment wrapText="1"/>
      <protection locked="0"/>
    </xf>
    <xf numFmtId="37" fontId="28" fillId="5" borderId="108" xfId="0" applyFont="1" applyFill="1" applyBorder="1" applyAlignment="1">
      <alignment horizontal="center" wrapText="1"/>
    </xf>
    <xf numFmtId="37" fontId="28" fillId="5" borderId="80" xfId="0" applyFont="1" applyFill="1" applyBorder="1" applyAlignment="1">
      <alignment horizontal="center" wrapText="1"/>
    </xf>
    <xf numFmtId="37" fontId="55" fillId="5" borderId="0" xfId="0" applyFont="1" applyFill="1" applyBorder="1" applyAlignment="1">
      <alignment horizontal="center" vertical="top" wrapText="1"/>
    </xf>
    <xf numFmtId="37" fontId="55" fillId="5" borderId="23" xfId="0" applyFont="1" applyFill="1" applyBorder="1" applyAlignment="1">
      <alignment horizontal="center" vertical="top" wrapText="1"/>
    </xf>
    <xf numFmtId="37" fontId="9" fillId="5" borderId="119" xfId="0" applyFont="1" applyFill="1" applyBorder="1" applyAlignment="1">
      <alignment horizontal="left"/>
    </xf>
    <xf numFmtId="0" fontId="1" fillId="2" borderId="0" xfId="3" applyNumberFormat="1" applyFont="1" applyAlignment="1">
      <alignment horizontal="center"/>
    </xf>
    <xf numFmtId="0" fontId="60" fillId="2" borderId="0" xfId="3" applyNumberFormat="1" applyFont="1" applyBorder="1" applyAlignment="1">
      <alignment horizontal="center"/>
    </xf>
    <xf numFmtId="0" fontId="28" fillId="2" borderId="41" xfId="3" applyNumberFormat="1" applyFont="1" applyBorder="1" applyAlignment="1">
      <alignment horizontal="center" vertical="center" wrapText="1"/>
    </xf>
    <xf numFmtId="0" fontId="28" fillId="2" borderId="0" xfId="3" applyNumberFormat="1" applyFont="1" applyAlignment="1">
      <alignment horizontal="center" vertical="center" wrapText="1"/>
    </xf>
    <xf numFmtId="0" fontId="10" fillId="2" borderId="100" xfId="3" applyNumberFormat="1" applyFont="1" applyBorder="1" applyAlignment="1">
      <alignment horizontal="center" vertical="center" wrapText="1"/>
    </xf>
    <xf numFmtId="37" fontId="0" fillId="2" borderId="93" xfId="0" applyNumberFormat="1" applyBorder="1"/>
    <xf numFmtId="37" fontId="0" fillId="2" borderId="120" xfId="0" applyNumberFormat="1" applyBorder="1"/>
    <xf numFmtId="37" fontId="28" fillId="5" borderId="119" xfId="0" applyFont="1" applyFill="1" applyBorder="1" applyAlignment="1">
      <alignment horizontal="left"/>
    </xf>
    <xf numFmtId="37" fontId="28" fillId="5" borderId="140" xfId="0" applyFont="1" applyFill="1" applyBorder="1" applyAlignment="1">
      <alignment horizontal="left"/>
    </xf>
    <xf numFmtId="37" fontId="28" fillId="5" borderId="141" xfId="0" applyFont="1" applyFill="1" applyBorder="1" applyAlignment="1">
      <alignment horizontal="left"/>
    </xf>
    <xf numFmtId="0" fontId="10" fillId="2" borderId="139" xfId="3" applyNumberFormat="1" applyFont="1" applyBorder="1" applyAlignment="1" applyProtection="1">
      <alignment horizontal="left"/>
    </xf>
    <xf numFmtId="37" fontId="10" fillId="2" borderId="0" xfId="0" applyNumberFormat="1" applyFont="1" applyAlignment="1" applyProtection="1">
      <alignment horizontal="left"/>
    </xf>
    <xf numFmtId="37" fontId="8" fillId="2" borderId="35" xfId="0" applyNumberFormat="1" applyFont="1" applyBorder="1" applyAlignment="1">
      <alignment horizontal="left"/>
    </xf>
    <xf numFmtId="37" fontId="3" fillId="2" borderId="13" xfId="5" applyNumberFormat="1" applyBorder="1" applyAlignment="1">
      <alignment horizontal="left"/>
    </xf>
    <xf numFmtId="0" fontId="23" fillId="2" borderId="0" xfId="5" applyNumberFormat="1" applyFont="1" applyAlignment="1">
      <alignment horizontal="left"/>
    </xf>
    <xf numFmtId="0" fontId="22" fillId="2" borderId="0" xfId="5" applyNumberFormat="1" applyFont="1" applyAlignment="1">
      <alignment horizontal="left"/>
    </xf>
    <xf numFmtId="0" fontId="1" fillId="2" borderId="0" xfId="5" applyNumberFormat="1" applyFont="1" applyAlignment="1">
      <alignment horizontal="center"/>
    </xf>
    <xf numFmtId="37" fontId="0" fillId="2" borderId="0" xfId="0" applyNumberFormat="1" applyAlignment="1">
      <alignment horizontal="center"/>
    </xf>
    <xf numFmtId="37" fontId="35" fillId="2" borderId="0" xfId="5" applyNumberFormat="1" applyFont="1" applyAlignment="1">
      <alignment horizontal="center"/>
    </xf>
  </cellXfs>
  <cellStyles count="7">
    <cellStyle name="Currency" xfId="1" builtinId="4"/>
    <cellStyle name="Normal" xfId="0" builtinId="0"/>
    <cellStyle name="Normal 2" xfId="2" xr:uid="{00000000-0005-0000-0000-000002000000}"/>
    <cellStyle name="Normal_Budget" xfId="3" xr:uid="{00000000-0005-0000-0000-000003000000}"/>
    <cellStyle name="Normal_Subcontracts" xfId="4" xr:uid="{00000000-0005-0000-0000-000004000000}"/>
    <cellStyle name="Normal_Summary" xfId="5" xr:uid="{00000000-0005-0000-0000-000005000000}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hsc.unm.edu/financialservices/preaward/forms-documents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21</xdr:row>
      <xdr:rowOff>52917</xdr:rowOff>
    </xdr:from>
    <xdr:to>
      <xdr:col>9</xdr:col>
      <xdr:colOff>342900</xdr:colOff>
      <xdr:row>46</xdr:row>
      <xdr:rowOff>0</xdr:rowOff>
    </xdr:to>
    <xdr:sp macro="" textlink="">
      <xdr:nvSpPr>
        <xdr:cNvPr id="5894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266700" y="3556000"/>
          <a:ext cx="7749117" cy="3915833"/>
        </a:xfrm>
        <a:prstGeom prst="rect">
          <a:avLst/>
        </a:prstGeom>
        <a:solidFill>
          <a:srgbClr val="FDEADA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5720" rIns="54864" bIns="45720" anchor="t" upright="1"/>
        <a:lstStyle/>
        <a:p>
          <a:pPr algn="l" rtl="0">
            <a:lnSpc>
              <a:spcPts val="1500"/>
            </a:lnSpc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2000"/>
            </a:lnSpc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SPECIAL INSTRUCTIONS for use of the </a:t>
          </a:r>
        </a:p>
        <a:p>
          <a:pPr algn="l" rtl="0">
            <a:lnSpc>
              <a:spcPts val="2000"/>
            </a:lnSpc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"IBW" INTERNAL BUDGET WORKSHEET</a:t>
          </a:r>
        </a:p>
        <a:p>
          <a:pPr algn="l" rtl="0">
            <a:lnSpc>
              <a:spcPts val="15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Complete instructions for preparing each spreadsheet can be found on the Pre-Award Services website at: </a:t>
          </a:r>
          <a:r>
            <a:rPr lang="en-US" sz="1050" b="0" i="0" u="sng" strike="noStrike">
              <a:solidFill>
                <a:srgbClr val="0000FF"/>
              </a:solidFill>
              <a:latin typeface="Arial"/>
              <a:cs typeface="Arial"/>
            </a:rPr>
            <a:t>http://hsc.unm.edu/financialservices/preaward/common/docs/guidance-docs/ibw-instruction-guide.pdf</a:t>
          </a:r>
          <a:r>
            <a:rPr lang="en-US" sz="1050" b="0" i="0" u="none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Begin by filling in the spreadsheet for "Salary Detail".  Continue filling out as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many of the othe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spreadsheets as applicable to the project in accordance with the "Worksheet Instruction Guide," until the user opens the "Budget Summary" spreadsheet.</a:t>
          </a: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Please note that the "Salary Detail" contains options for classifying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the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propsed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activity by type and location.  Be sure to specify whether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 project is being conducted "on" or "off" campus, and whether the activity is research, non-research or funded by the Department of Defense, as F&amp;A rates for these activities are calculated based on your response(s).  Alternative F&amp;A rates should be entered in the cell designated for "Non-Competing Cont. or Other Rate".</a:t>
          </a: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The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"Salary Detail"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spreadsheet contains fringe benefit categories to identify all salary types: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"F" for faculty;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"A" for all "secretarial/clerical" staff; "L" for technicians; "T" for temporary employees; and "O" for other professionals.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column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for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retired UNM employees, who have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separate fringe </a:t>
          </a:r>
          <a:r>
            <a:rPr lang="en-US" sz="10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benefit rate, is to the right of the fringe benefit column. Since the fringe benefit percentage is much lower for retirees than for full-time UNM employees, be sure to place an "R" in the "UNM Retiree" column after designating</a:t>
          </a:r>
          <a:r>
            <a:rPr lang="en-US" sz="1050" b="0" i="0">
              <a:latin typeface="Arial" pitchFamily="34" charset="0"/>
              <a:ea typeface="+mn-ea"/>
              <a:cs typeface="Arial" pitchFamily="34" charset="0"/>
            </a:rPr>
            <a:t> their fringe benefit type</a:t>
          </a:r>
          <a:r>
            <a:rPr lang="en-US" sz="10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l" rtl="0">
            <a:lnSpc>
              <a:spcPts val="14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133350</xdr:colOff>
      <xdr:row>4</xdr:row>
      <xdr:rowOff>104775</xdr:rowOff>
    </xdr:from>
    <xdr:to>
      <xdr:col>8</xdr:col>
      <xdr:colOff>466725</xdr:colOff>
      <xdr:row>17</xdr:row>
      <xdr:rowOff>723900</xdr:rowOff>
    </xdr:to>
    <xdr:pic>
      <xdr:nvPicPr>
        <xdr:cNvPr id="29832" name="Picture 1">
          <a:extLst>
            <a:ext uri="{FF2B5EF4-FFF2-40B4-BE49-F238E27FC236}">
              <a16:creationId xmlns:a16="http://schemas.microsoft.com/office/drawing/2014/main" id="{00000000-0008-0000-0000-00008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809750"/>
          <a:ext cx="336232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200025</xdr:colOff>
      <xdr:row>17</xdr:row>
      <xdr:rowOff>19050</xdr:rowOff>
    </xdr:from>
    <xdr:to>
      <xdr:col>15</xdr:col>
      <xdr:colOff>276225</xdr:colOff>
      <xdr:row>19</xdr:row>
      <xdr:rowOff>171450</xdr:rowOff>
    </xdr:to>
    <xdr:sp macro="" textlink="">
      <xdr:nvSpPr>
        <xdr:cNvPr id="32977" name="Down Arrow 2">
          <a:extLst>
            <a:ext uri="{FF2B5EF4-FFF2-40B4-BE49-F238E27FC236}">
              <a16:creationId xmlns:a16="http://schemas.microsoft.com/office/drawing/2014/main" id="{00000000-0008-0000-0100-0000D1800000}"/>
            </a:ext>
          </a:extLst>
        </xdr:cNvPr>
        <xdr:cNvSpPr>
          <a:spLocks noChangeArrowheads="1"/>
        </xdr:cNvSpPr>
      </xdr:nvSpPr>
      <xdr:spPr bwMode="auto">
        <a:xfrm>
          <a:off x="10620375" y="3057525"/>
          <a:ext cx="76200" cy="552450"/>
        </a:xfrm>
        <a:prstGeom prst="downArrow">
          <a:avLst>
            <a:gd name="adj1" fmla="val 50000"/>
            <a:gd name="adj2" fmla="val 48333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19</xdr:row>
      <xdr:rowOff>38100</xdr:rowOff>
    </xdr:from>
    <xdr:to>
      <xdr:col>17</xdr:col>
      <xdr:colOff>342900</xdr:colOff>
      <xdr:row>19</xdr:row>
      <xdr:rowOff>171450</xdr:rowOff>
    </xdr:to>
    <xdr:sp macro="" textlink="">
      <xdr:nvSpPr>
        <xdr:cNvPr id="32978" name="Down Arrow 4">
          <a:extLst>
            <a:ext uri="{FF2B5EF4-FFF2-40B4-BE49-F238E27FC236}">
              <a16:creationId xmlns:a16="http://schemas.microsoft.com/office/drawing/2014/main" id="{00000000-0008-0000-0100-0000D2800000}"/>
            </a:ext>
          </a:extLst>
        </xdr:cNvPr>
        <xdr:cNvSpPr>
          <a:spLocks noChangeArrowheads="1"/>
        </xdr:cNvSpPr>
      </xdr:nvSpPr>
      <xdr:spPr bwMode="auto">
        <a:xfrm>
          <a:off x="11706225" y="3476625"/>
          <a:ext cx="76200" cy="133350"/>
        </a:xfrm>
        <a:prstGeom prst="downArrow">
          <a:avLst>
            <a:gd name="adj1" fmla="val 50000"/>
            <a:gd name="adj2" fmla="val 46667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219075</xdr:colOff>
      <xdr:row>19</xdr:row>
      <xdr:rowOff>0</xdr:rowOff>
    </xdr:from>
    <xdr:to>
      <xdr:col>16</xdr:col>
      <xdr:colOff>295275</xdr:colOff>
      <xdr:row>19</xdr:row>
      <xdr:rowOff>180975</xdr:rowOff>
    </xdr:to>
    <xdr:sp macro="" textlink="">
      <xdr:nvSpPr>
        <xdr:cNvPr id="32979" name="Down Arrow 5">
          <a:extLst>
            <a:ext uri="{FF2B5EF4-FFF2-40B4-BE49-F238E27FC236}">
              <a16:creationId xmlns:a16="http://schemas.microsoft.com/office/drawing/2014/main" id="{00000000-0008-0000-0100-0000D3800000}"/>
            </a:ext>
          </a:extLst>
        </xdr:cNvPr>
        <xdr:cNvSpPr>
          <a:spLocks noChangeArrowheads="1"/>
        </xdr:cNvSpPr>
      </xdr:nvSpPr>
      <xdr:spPr bwMode="auto">
        <a:xfrm>
          <a:off x="11115675" y="3438525"/>
          <a:ext cx="76200" cy="180975"/>
        </a:xfrm>
        <a:prstGeom prst="downArrow">
          <a:avLst>
            <a:gd name="adj1" fmla="val 50000"/>
            <a:gd name="adj2" fmla="val 475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9525</xdr:rowOff>
    </xdr:from>
    <xdr:to>
      <xdr:col>2</xdr:col>
      <xdr:colOff>123825</xdr:colOff>
      <xdr:row>18</xdr:row>
      <xdr:rowOff>171450</xdr:rowOff>
    </xdr:to>
    <xdr:sp macro="" textlink="">
      <xdr:nvSpPr>
        <xdr:cNvPr id="32981" name="Left Brace 5">
          <a:extLst>
            <a:ext uri="{FF2B5EF4-FFF2-40B4-BE49-F238E27FC236}">
              <a16:creationId xmlns:a16="http://schemas.microsoft.com/office/drawing/2014/main" id="{00000000-0008-0000-0100-0000D5800000}"/>
            </a:ext>
          </a:extLst>
        </xdr:cNvPr>
        <xdr:cNvSpPr>
          <a:spLocks/>
        </xdr:cNvSpPr>
      </xdr:nvSpPr>
      <xdr:spPr bwMode="auto">
        <a:xfrm flipH="1">
          <a:off x="2181225" y="2886075"/>
          <a:ext cx="114300" cy="523875"/>
        </a:xfrm>
        <a:prstGeom prst="leftBrace">
          <a:avLst>
            <a:gd name="adj1" fmla="val 8509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501648</xdr:colOff>
      <xdr:row>23</xdr:row>
      <xdr:rowOff>0</xdr:rowOff>
    </xdr:from>
    <xdr:to>
      <xdr:col>23</xdr:col>
      <xdr:colOff>501648</xdr:colOff>
      <xdr:row>29</xdr:row>
      <xdr:rowOff>161925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6651815" y="4201583"/>
          <a:ext cx="0" cy="1114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566204</xdr:colOff>
      <xdr:row>23</xdr:row>
      <xdr:rowOff>0</xdr:rowOff>
    </xdr:from>
    <xdr:to>
      <xdr:col>24</xdr:col>
      <xdr:colOff>566204</xdr:colOff>
      <xdr:row>29</xdr:row>
      <xdr:rowOff>161925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7679454" y="4201583"/>
          <a:ext cx="0" cy="1114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560917</xdr:colOff>
      <xdr:row>6</xdr:row>
      <xdr:rowOff>0</xdr:rowOff>
    </xdr:from>
    <xdr:to>
      <xdr:col>20</xdr:col>
      <xdr:colOff>391584</xdr:colOff>
      <xdr:row>16</xdr:row>
      <xdr:rowOff>31750</xdr:rowOff>
    </xdr:to>
    <xdr:cxnSp macro="">
      <xdr:nvCxnSpPr>
        <xdr:cNvPr id="6" name="Curved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 bwMode="auto">
        <a:xfrm flipV="1">
          <a:off x="12001500" y="973667"/>
          <a:ext cx="2053167" cy="1915583"/>
        </a:xfrm>
        <a:prstGeom prst="curvedConnector3">
          <a:avLst>
            <a:gd name="adj1" fmla="val 50000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285750</xdr:colOff>
      <xdr:row>14</xdr:row>
      <xdr:rowOff>104775</xdr:rowOff>
    </xdr:from>
    <xdr:to>
      <xdr:col>14</xdr:col>
      <xdr:colOff>285750</xdr:colOff>
      <xdr:row>17</xdr:row>
      <xdr:rowOff>76200</xdr:rowOff>
    </xdr:to>
    <xdr:sp macro="" textlink="">
      <xdr:nvSpPr>
        <xdr:cNvPr id="30787" name="Line 1">
          <a:extLst>
            <a:ext uri="{FF2B5EF4-FFF2-40B4-BE49-F238E27FC236}">
              <a16:creationId xmlns:a16="http://schemas.microsoft.com/office/drawing/2014/main" id="{00000000-0008-0000-0200-000043780000}"/>
            </a:ext>
          </a:extLst>
        </xdr:cNvPr>
        <xdr:cNvSpPr>
          <a:spLocks noChangeShapeType="1"/>
        </xdr:cNvSpPr>
      </xdr:nvSpPr>
      <xdr:spPr bwMode="auto">
        <a:xfrm>
          <a:off x="9048750" y="270510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48</xdr:row>
      <xdr:rowOff>85725</xdr:rowOff>
    </xdr:from>
    <xdr:to>
      <xdr:col>12</xdr:col>
      <xdr:colOff>257175</xdr:colOff>
      <xdr:row>49</xdr:row>
      <xdr:rowOff>104775</xdr:rowOff>
    </xdr:to>
    <xdr:sp macro="" textlink="">
      <xdr:nvSpPr>
        <xdr:cNvPr id="31886" name="Curved Left Arrow 1">
          <a:extLst>
            <a:ext uri="{FF2B5EF4-FFF2-40B4-BE49-F238E27FC236}">
              <a16:creationId xmlns:a16="http://schemas.microsoft.com/office/drawing/2014/main" id="{00000000-0008-0000-0400-00008E7C0000}"/>
            </a:ext>
          </a:extLst>
        </xdr:cNvPr>
        <xdr:cNvSpPr>
          <a:spLocks/>
        </xdr:cNvSpPr>
      </xdr:nvSpPr>
      <xdr:spPr bwMode="auto">
        <a:xfrm flipH="1" flipV="1">
          <a:off x="12068175" y="9858375"/>
          <a:ext cx="209550" cy="228600"/>
        </a:xfrm>
        <a:prstGeom prst="curvedLeftArrow">
          <a:avLst>
            <a:gd name="adj1" fmla="val 24657"/>
            <a:gd name="adj2" fmla="val 49313"/>
            <a:gd name="adj3" fmla="val 25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455083</xdr:colOff>
      <xdr:row>44</xdr:row>
      <xdr:rowOff>191558</xdr:rowOff>
    </xdr:from>
    <xdr:to>
      <xdr:col>12</xdr:col>
      <xdr:colOff>662624</xdr:colOff>
      <xdr:row>47</xdr:row>
      <xdr:rowOff>190499</xdr:rowOff>
    </xdr:to>
    <xdr:sp macro="" textlink="">
      <xdr:nvSpPr>
        <xdr:cNvPr id="6" name="Bent Arrow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/>
        </xdr:cNvSpPr>
      </xdr:nvSpPr>
      <xdr:spPr bwMode="auto">
        <a:xfrm flipH="1" flipV="1">
          <a:off x="12435416" y="8584141"/>
          <a:ext cx="207541" cy="422275"/>
        </a:xfrm>
        <a:prstGeom prst="bentArrow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1657350" y="771525"/>
          <a:ext cx="0" cy="13049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16388289" y="645583"/>
          <a:ext cx="0" cy="147425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48</xdr:row>
      <xdr:rowOff>85725</xdr:rowOff>
    </xdr:from>
    <xdr:to>
      <xdr:col>12</xdr:col>
      <xdr:colOff>257175</xdr:colOff>
      <xdr:row>49</xdr:row>
      <xdr:rowOff>104775</xdr:rowOff>
    </xdr:to>
    <xdr:sp macro="" textlink="">
      <xdr:nvSpPr>
        <xdr:cNvPr id="7" name="Curved Left Arrow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/>
        </xdr:cNvSpPr>
      </xdr:nvSpPr>
      <xdr:spPr bwMode="auto">
        <a:xfrm flipH="1" flipV="1">
          <a:off x="12068175" y="9858375"/>
          <a:ext cx="209550" cy="228600"/>
        </a:xfrm>
        <a:prstGeom prst="curvedLeftArrow">
          <a:avLst>
            <a:gd name="adj1" fmla="val 24657"/>
            <a:gd name="adj2" fmla="val 49313"/>
            <a:gd name="adj3" fmla="val 25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455083</xdr:colOff>
      <xdr:row>44</xdr:row>
      <xdr:rowOff>191558</xdr:rowOff>
    </xdr:from>
    <xdr:to>
      <xdr:col>12</xdr:col>
      <xdr:colOff>662624</xdr:colOff>
      <xdr:row>47</xdr:row>
      <xdr:rowOff>190499</xdr:rowOff>
    </xdr:to>
    <xdr:sp macro="" textlink="">
      <xdr:nvSpPr>
        <xdr:cNvPr id="8" name="Bent Arrow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/>
        </xdr:cNvSpPr>
      </xdr:nvSpPr>
      <xdr:spPr bwMode="auto">
        <a:xfrm flipH="1" flipV="1">
          <a:off x="12475633" y="9126008"/>
          <a:ext cx="207541" cy="627591"/>
        </a:xfrm>
        <a:prstGeom prst="bentArrow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15354300" y="657225"/>
          <a:ext cx="0" cy="14573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16420039" y="657225"/>
          <a:ext cx="0" cy="14573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repella/Desktop/SPO%20Resources/ibw%20August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XPgrpwise\IBW_15Oct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sc.unm.edu/Users/RMollenkamp.HEALTH/Documents/IBW_0925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Salary Detail"/>
      <sheetName val="UH Employees"/>
      <sheetName val="Budget Summary"/>
      <sheetName val="Salary Allocation"/>
      <sheetName val="Personnel Summary"/>
    </sheetNames>
    <sheetDataSet>
      <sheetData sheetId="0"/>
      <sheetData sheetId="1">
        <row r="2">
          <cell r="AE2">
            <v>1</v>
          </cell>
        </row>
        <row r="3">
          <cell r="A3" t="str">
            <v>Revised 5/13/2016</v>
          </cell>
          <cell r="AE3">
            <v>1.0409999999999999</v>
          </cell>
        </row>
        <row r="5">
          <cell r="AE5">
            <v>365</v>
          </cell>
        </row>
        <row r="10">
          <cell r="E10">
            <v>42916</v>
          </cell>
          <cell r="L10">
            <v>60</v>
          </cell>
        </row>
        <row r="11">
          <cell r="E11">
            <v>42583</v>
          </cell>
        </row>
        <row r="12">
          <cell r="E12">
            <v>42917</v>
          </cell>
          <cell r="L12">
            <v>1</v>
          </cell>
        </row>
        <row r="16">
          <cell r="L16">
            <v>1.11E-2</v>
          </cell>
        </row>
        <row r="17">
          <cell r="L17">
            <v>1.0000304109589042</v>
          </cell>
        </row>
        <row r="18">
          <cell r="L18">
            <v>185100</v>
          </cell>
        </row>
        <row r="24">
          <cell r="AI24">
            <v>1</v>
          </cell>
        </row>
        <row r="72">
          <cell r="R72">
            <v>1</v>
          </cell>
        </row>
        <row r="73">
          <cell r="R73">
            <v>1</v>
          </cell>
        </row>
        <row r="126">
          <cell r="R126">
            <v>1</v>
          </cell>
        </row>
        <row r="127">
          <cell r="R127">
            <v>1</v>
          </cell>
        </row>
        <row r="182">
          <cell r="R182">
            <v>8.3333333333333037E-2</v>
          </cell>
        </row>
        <row r="183">
          <cell r="R183">
            <v>1</v>
          </cell>
        </row>
        <row r="236">
          <cell r="R236">
            <v>1</v>
          </cell>
        </row>
        <row r="237">
          <cell r="R237">
            <v>1</v>
          </cell>
        </row>
        <row r="290">
          <cell r="R290">
            <v>1</v>
          </cell>
        </row>
        <row r="345">
          <cell r="C345" t="str">
            <v>B</v>
          </cell>
        </row>
        <row r="346">
          <cell r="G346">
            <v>0.99700598802395213</v>
          </cell>
        </row>
        <row r="347">
          <cell r="G347">
            <v>2.9940119760478723E-3</v>
          </cell>
        </row>
        <row r="348">
          <cell r="G348">
            <v>0</v>
          </cell>
        </row>
        <row r="353">
          <cell r="A353">
            <v>0</v>
          </cell>
          <cell r="B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 t="str">
            <v>A</v>
          </cell>
          <cell r="B354">
            <v>0.35</v>
          </cell>
          <cell r="G354" t="str">
            <v>A</v>
          </cell>
          <cell r="H354">
            <v>0.35</v>
          </cell>
          <cell r="I354">
            <v>0.35499999999999998</v>
          </cell>
          <cell r="J354">
            <v>0.36</v>
          </cell>
          <cell r="K354">
            <v>0.36499999999999999</v>
          </cell>
          <cell r="L354">
            <v>0.371</v>
          </cell>
          <cell r="M354">
            <v>0.371</v>
          </cell>
          <cell r="N354">
            <v>0.371</v>
          </cell>
          <cell r="O354">
            <v>0.371</v>
          </cell>
          <cell r="P354">
            <v>0.371</v>
          </cell>
          <cell r="Q354">
            <v>0.371</v>
          </cell>
          <cell r="R354">
            <v>0.371</v>
          </cell>
          <cell r="S354">
            <v>0.371</v>
          </cell>
          <cell r="T354">
            <v>0.371</v>
          </cell>
        </row>
        <row r="355">
          <cell r="A355" t="str">
            <v>L</v>
          </cell>
          <cell r="B355">
            <v>0.35</v>
          </cell>
          <cell r="G355" t="str">
            <v>L</v>
          </cell>
          <cell r="H355">
            <v>0.35</v>
          </cell>
          <cell r="I355">
            <v>0.35499999999999998</v>
          </cell>
          <cell r="J355">
            <v>0.36</v>
          </cell>
          <cell r="K355">
            <v>0.36499999999999999</v>
          </cell>
          <cell r="L355">
            <v>0.371</v>
          </cell>
          <cell r="M355">
            <v>0.371</v>
          </cell>
          <cell r="N355">
            <v>0.371</v>
          </cell>
          <cell r="O355">
            <v>0.371</v>
          </cell>
          <cell r="P355">
            <v>0.371</v>
          </cell>
          <cell r="Q355">
            <v>0.371</v>
          </cell>
          <cell r="R355">
            <v>0.371</v>
          </cell>
          <cell r="S355">
            <v>0.371</v>
          </cell>
          <cell r="T355">
            <v>0.371</v>
          </cell>
        </row>
        <row r="356">
          <cell r="A356" t="str">
            <v>O</v>
          </cell>
          <cell r="B356">
            <v>0.35</v>
          </cell>
          <cell r="G356" t="str">
            <v>O</v>
          </cell>
          <cell r="H356">
            <v>0.35</v>
          </cell>
          <cell r="I356">
            <v>0.35499999999999998</v>
          </cell>
          <cell r="J356">
            <v>0.36</v>
          </cell>
          <cell r="K356">
            <v>0.36499999999999999</v>
          </cell>
          <cell r="L356">
            <v>0.371</v>
          </cell>
          <cell r="M356">
            <v>0.371</v>
          </cell>
          <cell r="N356">
            <v>0.371</v>
          </cell>
          <cell r="O356">
            <v>0.371</v>
          </cell>
          <cell r="P356">
            <v>0.371</v>
          </cell>
          <cell r="Q356">
            <v>0.371</v>
          </cell>
          <cell r="R356">
            <v>0.371</v>
          </cell>
          <cell r="S356">
            <v>0.371</v>
          </cell>
          <cell r="T356">
            <v>0.371</v>
          </cell>
        </row>
        <row r="357">
          <cell r="A357" t="str">
            <v>F</v>
          </cell>
          <cell r="B357">
            <v>0.28999999999999998</v>
          </cell>
          <cell r="G357" t="str">
            <v>F</v>
          </cell>
          <cell r="H357">
            <v>0.28999999999999998</v>
          </cell>
          <cell r="I357">
            <v>0.29199999999999998</v>
          </cell>
          <cell r="J357">
            <v>0.29399999999999998</v>
          </cell>
          <cell r="K357">
            <v>0.29599999999999999</v>
          </cell>
          <cell r="L357">
            <v>0.29799999999999999</v>
          </cell>
          <cell r="M357">
            <v>0.29799999999999999</v>
          </cell>
          <cell r="N357">
            <v>0.29799999999999999</v>
          </cell>
          <cell r="O357">
            <v>0.29799999999999999</v>
          </cell>
          <cell r="P357">
            <v>0.29799999999999999</v>
          </cell>
          <cell r="Q357">
            <v>0.29799999999999999</v>
          </cell>
          <cell r="R357">
            <v>0.29799999999999999</v>
          </cell>
          <cell r="S357">
            <v>0.29799999999999999</v>
          </cell>
          <cell r="T357">
            <v>0.29799999999999999</v>
          </cell>
        </row>
        <row r="358">
          <cell r="A358" t="str">
            <v>G</v>
          </cell>
          <cell r="B358">
            <v>0.01</v>
          </cell>
          <cell r="G358" t="str">
            <v>G</v>
          </cell>
          <cell r="H358">
            <v>0.01</v>
          </cell>
          <cell r="I358">
            <v>0.01</v>
          </cell>
          <cell r="J358">
            <v>0.01</v>
          </cell>
          <cell r="K358">
            <v>0.01</v>
          </cell>
          <cell r="L358">
            <v>0.01</v>
          </cell>
          <cell r="M358">
            <v>0.01</v>
          </cell>
          <cell r="N358">
            <v>0.01</v>
          </cell>
          <cell r="O358">
            <v>0.01</v>
          </cell>
          <cell r="P358">
            <v>0.01</v>
          </cell>
          <cell r="Q358">
            <v>0.01</v>
          </cell>
          <cell r="R358">
            <v>0.01</v>
          </cell>
          <cell r="S358">
            <v>0.01</v>
          </cell>
          <cell r="T358">
            <v>0.01</v>
          </cell>
        </row>
        <row r="359">
          <cell r="A359" t="str">
            <v>P</v>
          </cell>
          <cell r="B359">
            <v>0.25800000000000001</v>
          </cell>
          <cell r="G359" t="str">
            <v>P</v>
          </cell>
          <cell r="H359">
            <v>0.25800000000000001</v>
          </cell>
          <cell r="I359">
            <v>0.26300000000000001</v>
          </cell>
          <cell r="J359">
            <v>0.26800000000000002</v>
          </cell>
          <cell r="K359">
            <v>0.27300000000000002</v>
          </cell>
          <cell r="L359">
            <v>0.27900000000000003</v>
          </cell>
          <cell r="M359">
            <v>0.27900000000000003</v>
          </cell>
          <cell r="N359">
            <v>0.27900000000000003</v>
          </cell>
          <cell r="O359">
            <v>0.27900000000000003</v>
          </cell>
          <cell r="P359">
            <v>0.27900000000000003</v>
          </cell>
          <cell r="Q359">
            <v>0.27900000000000003</v>
          </cell>
          <cell r="R359">
            <v>0.27900000000000003</v>
          </cell>
          <cell r="S359">
            <v>0.27900000000000003</v>
          </cell>
          <cell r="T359">
            <v>0.27900000000000003</v>
          </cell>
        </row>
        <row r="360">
          <cell r="A360" t="str">
            <v>R</v>
          </cell>
          <cell r="B360">
            <v>0.08</v>
          </cell>
          <cell r="G360" t="str">
            <v>R</v>
          </cell>
          <cell r="H360">
            <v>8.1000000000000003E-2</v>
          </cell>
          <cell r="I360">
            <v>8.1000000000000003E-2</v>
          </cell>
          <cell r="J360">
            <v>8.1000000000000003E-2</v>
          </cell>
          <cell r="K360">
            <v>8.1000000000000003E-2</v>
          </cell>
          <cell r="L360">
            <v>8.1000000000000003E-2</v>
          </cell>
          <cell r="M360">
            <v>8.1000000000000003E-2</v>
          </cell>
          <cell r="N360">
            <v>8.1000000000000003E-2</v>
          </cell>
          <cell r="O360">
            <v>8.1000000000000003E-2</v>
          </cell>
          <cell r="P360">
            <v>8.1000000000000003E-2</v>
          </cell>
          <cell r="Q360">
            <v>8.1000000000000003E-2</v>
          </cell>
          <cell r="R360">
            <v>8.1000000000000003E-2</v>
          </cell>
          <cell r="S360">
            <v>8.1000000000000003E-2</v>
          </cell>
          <cell r="T360">
            <v>8.1000000000000003E-2</v>
          </cell>
        </row>
        <row r="361">
          <cell r="A361" t="str">
            <v>S</v>
          </cell>
          <cell r="B361">
            <v>0.01</v>
          </cell>
          <cell r="G361" t="str">
            <v>S</v>
          </cell>
          <cell r="H361">
            <v>0.01</v>
          </cell>
          <cell r="I361">
            <v>0.01</v>
          </cell>
          <cell r="J361">
            <v>0.01</v>
          </cell>
          <cell r="K361">
            <v>0.01</v>
          </cell>
          <cell r="L361">
            <v>0.01</v>
          </cell>
          <cell r="M361">
            <v>0.01</v>
          </cell>
          <cell r="N361">
            <v>0.01</v>
          </cell>
          <cell r="O361">
            <v>0.01</v>
          </cell>
          <cell r="P361">
            <v>0.01</v>
          </cell>
          <cell r="Q361">
            <v>0.01</v>
          </cell>
          <cell r="R361">
            <v>0.01</v>
          </cell>
          <cell r="S361">
            <v>0.01</v>
          </cell>
          <cell r="T361">
            <v>0.01</v>
          </cell>
        </row>
        <row r="362">
          <cell r="A362" t="str">
            <v>T</v>
          </cell>
          <cell r="B362">
            <v>0.22</v>
          </cell>
          <cell r="G362" t="str">
            <v>T</v>
          </cell>
          <cell r="H362">
            <v>0.22</v>
          </cell>
          <cell r="I362">
            <v>0.22</v>
          </cell>
          <cell r="J362">
            <v>0.22</v>
          </cell>
          <cell r="K362">
            <v>0.22</v>
          </cell>
          <cell r="L362">
            <v>0.22</v>
          </cell>
          <cell r="M362">
            <v>0.22</v>
          </cell>
          <cell r="N362">
            <v>0.22</v>
          </cell>
          <cell r="O362">
            <v>0.22</v>
          </cell>
          <cell r="P362">
            <v>0.22</v>
          </cell>
          <cell r="Q362">
            <v>0.22</v>
          </cell>
          <cell r="R362">
            <v>0.22</v>
          </cell>
          <cell r="S362">
            <v>0.22</v>
          </cell>
          <cell r="T362">
            <v>0.22</v>
          </cell>
        </row>
        <row r="363">
          <cell r="A363" t="str">
            <v>W</v>
          </cell>
          <cell r="B363">
            <v>0.01</v>
          </cell>
          <cell r="G363" t="str">
            <v>W</v>
          </cell>
          <cell r="H363">
            <v>0.01</v>
          </cell>
          <cell r="I363">
            <v>0.01</v>
          </cell>
          <cell r="J363">
            <v>0.01</v>
          </cell>
          <cell r="K363">
            <v>0.01</v>
          </cell>
          <cell r="L363">
            <v>0.01</v>
          </cell>
          <cell r="M363">
            <v>0.01</v>
          </cell>
          <cell r="N363">
            <v>0.01</v>
          </cell>
          <cell r="O363">
            <v>0.01</v>
          </cell>
          <cell r="P363">
            <v>0.01</v>
          </cell>
          <cell r="Q363">
            <v>0.01</v>
          </cell>
          <cell r="R363">
            <v>0.01</v>
          </cell>
          <cell r="S363">
            <v>0.01</v>
          </cell>
          <cell r="T363">
            <v>0.01</v>
          </cell>
        </row>
        <row r="367">
          <cell r="G367">
            <v>3.5000000000000003E-2</v>
          </cell>
          <cell r="O367">
            <v>5.083333333333333</v>
          </cell>
        </row>
      </sheetData>
      <sheetData sheetId="2"/>
      <sheetData sheetId="3">
        <row r="16">
          <cell r="M16">
            <v>0.03</v>
          </cell>
        </row>
        <row r="37">
          <cell r="M37">
            <v>25000</v>
          </cell>
        </row>
        <row r="49">
          <cell r="M49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UH Employees"/>
      <sheetName val="Personnel Summary"/>
      <sheetName val="Patient Care"/>
      <sheetName val="Subcontracts"/>
      <sheetName val="Budget Summary"/>
      <sheetName val="Salary Detail"/>
      <sheetName val="ABS"/>
      <sheetName val="Budget Justifi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53">
          <cell r="A353">
            <v>0</v>
          </cell>
          <cell r="B353">
            <v>0</v>
          </cell>
          <cell r="C353">
            <v>0</v>
          </cell>
        </row>
        <row r="354">
          <cell r="A354">
            <v>0</v>
          </cell>
          <cell r="B354" t="str">
            <v>A</v>
          </cell>
          <cell r="C354">
            <v>0.33</v>
          </cell>
        </row>
        <row r="355">
          <cell r="A355">
            <v>0</v>
          </cell>
          <cell r="B355" t="str">
            <v>F</v>
          </cell>
          <cell r="C355">
            <v>0.28999999999999998</v>
          </cell>
        </row>
        <row r="356">
          <cell r="A356">
            <v>0</v>
          </cell>
          <cell r="B356" t="str">
            <v>G</v>
          </cell>
          <cell r="C356">
            <v>0.01</v>
          </cell>
        </row>
        <row r="357">
          <cell r="A357">
            <v>0</v>
          </cell>
          <cell r="B357" t="str">
            <v>P</v>
          </cell>
          <cell r="C357">
            <v>0.25</v>
          </cell>
        </row>
        <row r="358">
          <cell r="A358">
            <v>0</v>
          </cell>
          <cell r="B358" t="str">
            <v>R</v>
          </cell>
          <cell r="C358">
            <v>0.05</v>
          </cell>
        </row>
        <row r="359">
          <cell r="A359">
            <v>0</v>
          </cell>
          <cell r="B359" t="str">
            <v>S</v>
          </cell>
          <cell r="C359">
            <v>0.01</v>
          </cell>
        </row>
        <row r="360">
          <cell r="A360">
            <v>0</v>
          </cell>
          <cell r="B360" t="str">
            <v>T</v>
          </cell>
          <cell r="C360">
            <v>0.21</v>
          </cell>
        </row>
        <row r="361">
          <cell r="A361">
            <v>0</v>
          </cell>
          <cell r="B361" t="str">
            <v>W</v>
          </cell>
          <cell r="C361">
            <v>0.01</v>
          </cell>
        </row>
      </sheetData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Salary Detail"/>
      <sheetName val="UH Employees"/>
      <sheetName val="Patient Care"/>
      <sheetName val="Subcontracts"/>
      <sheetName val="Budget Summary"/>
      <sheetName val="Salary Allocation"/>
      <sheetName val="Personnel Summary"/>
    </sheetNames>
    <sheetDataSet>
      <sheetData sheetId="0"/>
      <sheetData sheetId="1"/>
      <sheetData sheetId="2"/>
      <sheetData sheetId="3"/>
      <sheetData sheetId="4">
        <row r="61">
          <cell r="D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indexed="8"/>
  </sheetPr>
  <dimension ref="A2:J143"/>
  <sheetViews>
    <sheetView zoomScale="90" zoomScaleNormal="90" zoomScaleSheetLayoutView="90" workbookViewId="0"/>
  </sheetViews>
  <sheetFormatPr defaultRowHeight="12.5" x14ac:dyDescent="0.25"/>
  <cols>
    <col min="2" max="2" width="42.7265625" customWidth="1"/>
    <col min="3" max="3" width="8.26953125" customWidth="1"/>
    <col min="8" max="8" width="8.81640625" customWidth="1"/>
  </cols>
  <sheetData>
    <row r="2" spans="1:10" ht="31" x14ac:dyDescent="0.25">
      <c r="A2" s="813" t="s">
        <v>360</v>
      </c>
      <c r="B2" s="813"/>
      <c r="C2" s="813"/>
      <c r="D2" s="813"/>
      <c r="E2" s="813"/>
      <c r="F2" s="813"/>
      <c r="G2" s="813"/>
      <c r="H2" s="813"/>
      <c r="I2" s="813"/>
      <c r="J2" s="813"/>
    </row>
    <row r="3" spans="1:10" ht="26" x14ac:dyDescent="0.25">
      <c r="A3" s="814" t="s">
        <v>361</v>
      </c>
      <c r="B3" s="814"/>
      <c r="C3" s="814"/>
      <c r="D3" s="814"/>
      <c r="E3" s="814"/>
      <c r="F3" s="814"/>
      <c r="G3" s="814"/>
      <c r="H3" s="814"/>
      <c r="I3" s="814"/>
      <c r="J3" s="814"/>
    </row>
    <row r="4" spans="1:10" ht="63.75" customHeight="1" x14ac:dyDescent="0.25">
      <c r="B4" s="812" t="s">
        <v>362</v>
      </c>
      <c r="C4" s="812"/>
      <c r="D4" s="812"/>
      <c r="E4" s="812"/>
      <c r="F4" s="812"/>
      <c r="G4" s="812"/>
      <c r="H4" s="812"/>
      <c r="I4" s="812"/>
      <c r="J4" s="812"/>
    </row>
    <row r="5" spans="1:10" ht="13" x14ac:dyDescent="0.25">
      <c r="B5" s="552"/>
    </row>
    <row r="6" spans="1:10" ht="18.5" x14ac:dyDescent="0.25">
      <c r="B6" s="551" t="s">
        <v>363</v>
      </c>
    </row>
    <row r="18" spans="1:2" ht="65.25" customHeight="1" x14ac:dyDescent="0.25"/>
    <row r="19" spans="1:2" ht="17.5" x14ac:dyDescent="0.35">
      <c r="A19" s="462" t="s">
        <v>352</v>
      </c>
    </row>
    <row r="21" spans="1:2" ht="17.5" x14ac:dyDescent="0.35">
      <c r="A21" s="461"/>
      <c r="B21" s="462" t="s">
        <v>353</v>
      </c>
    </row>
    <row r="74" spans="2:5" ht="20" x14ac:dyDescent="0.4">
      <c r="B74" s="463"/>
    </row>
    <row r="75" spans="2:5" ht="17.5" x14ac:dyDescent="0.35">
      <c r="B75" s="467"/>
      <c r="C75" s="468"/>
    </row>
    <row r="77" spans="2:5" ht="20.149999999999999" customHeight="1" x14ac:dyDescent="0.35">
      <c r="B77" s="379"/>
      <c r="C77" s="379"/>
      <c r="D77" s="379"/>
      <c r="E77" s="379"/>
    </row>
    <row r="78" spans="2:5" ht="20.149999999999999" customHeight="1" x14ac:dyDescent="0.35">
      <c r="B78" s="465"/>
      <c r="C78" s="379"/>
      <c r="D78" s="379"/>
      <c r="E78" s="379"/>
    </row>
    <row r="79" spans="2:5" ht="20.149999999999999" customHeight="1" x14ac:dyDescent="0.35">
      <c r="B79" s="465"/>
      <c r="C79" s="379"/>
      <c r="D79" s="379"/>
      <c r="E79" s="379"/>
    </row>
    <row r="80" spans="2:5" s="19" customFormat="1" ht="20.149999999999999" customHeight="1" x14ac:dyDescent="0.35">
      <c r="B80" s="465"/>
      <c r="C80" s="379"/>
      <c r="D80" s="379"/>
      <c r="E80" s="379"/>
    </row>
    <row r="81" spans="2:5" s="19" customFormat="1" ht="20.149999999999999" customHeight="1" x14ac:dyDescent="0.35">
      <c r="B81" s="465"/>
      <c r="C81" s="379"/>
      <c r="D81" s="379"/>
      <c r="E81" s="379"/>
    </row>
    <row r="82" spans="2:5" s="454" customFormat="1" ht="20.149999999999999" customHeight="1" x14ac:dyDescent="0.35">
      <c r="B82" s="465"/>
      <c r="C82" s="379"/>
      <c r="D82" s="379"/>
      <c r="E82" s="379"/>
    </row>
    <row r="83" spans="2:5" s="454" customFormat="1" ht="20.149999999999999" customHeight="1" x14ac:dyDescent="0.35">
      <c r="B83" s="465"/>
      <c r="C83" s="379"/>
      <c r="D83" s="379"/>
      <c r="E83" s="379"/>
    </row>
    <row r="84" spans="2:5" ht="20.149999999999999" customHeight="1" x14ac:dyDescent="0.35">
      <c r="B84" s="379"/>
      <c r="C84" s="379"/>
      <c r="D84" s="379"/>
      <c r="E84" s="379"/>
    </row>
    <row r="85" spans="2:5" ht="20.149999999999999" customHeight="1" x14ac:dyDescent="0.35">
      <c r="B85" s="379"/>
      <c r="C85" s="379"/>
      <c r="D85" s="379"/>
      <c r="E85" s="379"/>
    </row>
    <row r="86" spans="2:5" ht="20.149999999999999" customHeight="1" x14ac:dyDescent="0.35">
      <c r="B86" s="465"/>
      <c r="C86" s="379"/>
      <c r="D86" s="379"/>
      <c r="E86" s="379"/>
    </row>
    <row r="87" spans="2:5" ht="20.149999999999999" customHeight="1" x14ac:dyDescent="0.35">
      <c r="B87" s="465"/>
      <c r="C87" s="379"/>
      <c r="D87" s="379"/>
      <c r="E87" s="379"/>
    </row>
    <row r="88" spans="2:5" ht="20.149999999999999" customHeight="1" x14ac:dyDescent="0.35">
      <c r="B88" s="465"/>
      <c r="C88" s="379"/>
      <c r="D88" s="379"/>
      <c r="E88" s="379"/>
    </row>
    <row r="89" spans="2:5" ht="20.149999999999999" customHeight="1" x14ac:dyDescent="0.35">
      <c r="B89" s="465"/>
      <c r="C89" s="379"/>
      <c r="D89" s="379"/>
      <c r="E89" s="379"/>
    </row>
    <row r="90" spans="2:5" ht="35.25" customHeight="1" x14ac:dyDescent="0.35">
      <c r="B90" s="464"/>
      <c r="C90" s="379"/>
      <c r="D90" s="509"/>
      <c r="E90" s="509"/>
    </row>
    <row r="91" spans="2:5" ht="20.149999999999999" customHeight="1" x14ac:dyDescent="0.35">
      <c r="B91" s="465"/>
      <c r="C91" s="379"/>
      <c r="D91" s="379"/>
      <c r="E91" s="379"/>
    </row>
    <row r="92" spans="2:5" ht="20.149999999999999" customHeight="1" x14ac:dyDescent="0.35">
      <c r="B92" s="465"/>
      <c r="C92" s="379"/>
      <c r="D92" s="379"/>
      <c r="E92" s="379"/>
    </row>
    <row r="93" spans="2:5" ht="20.149999999999999" customHeight="1" x14ac:dyDescent="0.35">
      <c r="B93" s="465"/>
      <c r="C93" s="379"/>
      <c r="D93" s="379"/>
      <c r="E93" s="379"/>
    </row>
    <row r="94" spans="2:5" ht="20.149999999999999" customHeight="1" x14ac:dyDescent="0.35">
      <c r="B94" s="379"/>
      <c r="C94" s="379"/>
      <c r="D94" s="379"/>
      <c r="E94" s="379"/>
    </row>
    <row r="95" spans="2:5" ht="20.149999999999999" customHeight="1" x14ac:dyDescent="0.35">
      <c r="B95" s="379"/>
      <c r="C95" s="379"/>
      <c r="D95" s="379"/>
      <c r="E95" s="379"/>
    </row>
    <row r="96" spans="2:5" ht="36" customHeight="1" x14ac:dyDescent="0.35">
      <c r="B96" s="465"/>
      <c r="C96" s="379"/>
      <c r="D96" s="510"/>
      <c r="E96" s="510"/>
    </row>
    <row r="97" spans="2:5" ht="25" customHeight="1" x14ac:dyDescent="0.35">
      <c r="B97" s="379"/>
      <c r="C97" s="379"/>
      <c r="D97" s="379"/>
      <c r="E97" s="379"/>
    </row>
    <row r="98" spans="2:5" ht="35.25" customHeight="1" x14ac:dyDescent="0.35">
      <c r="B98" s="465"/>
      <c r="C98" s="379"/>
      <c r="D98" s="379"/>
      <c r="E98" s="379"/>
    </row>
    <row r="99" spans="2:5" ht="20.149999999999999" customHeight="1" x14ac:dyDescent="0.35">
      <c r="B99" s="465"/>
      <c r="C99" s="379"/>
      <c r="D99" s="379"/>
      <c r="E99" s="379"/>
    </row>
    <row r="100" spans="2:5" ht="20.149999999999999" customHeight="1" x14ac:dyDescent="0.35">
      <c r="B100" s="465"/>
      <c r="C100" s="379"/>
      <c r="D100" s="379"/>
      <c r="E100" s="379"/>
    </row>
    <row r="101" spans="2:5" ht="20.149999999999999" customHeight="1" x14ac:dyDescent="0.35">
      <c r="B101" s="379"/>
      <c r="C101" s="379"/>
      <c r="D101" s="379"/>
      <c r="E101" s="379"/>
    </row>
    <row r="102" spans="2:5" ht="20.149999999999999" customHeight="1" x14ac:dyDescent="0.35">
      <c r="B102" s="379"/>
      <c r="C102" s="379"/>
      <c r="D102" s="379"/>
      <c r="E102" s="379"/>
    </row>
    <row r="103" spans="2:5" ht="20.149999999999999" customHeight="1" x14ac:dyDescent="0.35">
      <c r="B103" s="465"/>
      <c r="C103" s="379"/>
      <c r="D103" s="379"/>
      <c r="E103" s="379"/>
    </row>
    <row r="104" spans="2:5" ht="20.149999999999999" customHeight="1" x14ac:dyDescent="0.35">
      <c r="B104" s="465"/>
      <c r="C104" s="379"/>
      <c r="D104" s="379"/>
      <c r="E104" s="379"/>
    </row>
    <row r="105" spans="2:5" ht="20.149999999999999" customHeight="1" x14ac:dyDescent="0.35">
      <c r="B105" s="465"/>
      <c r="C105" s="379"/>
      <c r="D105" s="379"/>
      <c r="E105" s="379"/>
    </row>
    <row r="106" spans="2:5" ht="20.149999999999999" customHeight="1" x14ac:dyDescent="0.35">
      <c r="B106" s="379"/>
      <c r="D106" s="379"/>
      <c r="E106" s="379"/>
    </row>
    <row r="107" spans="2:5" ht="40.5" customHeight="1" x14ac:dyDescent="0.35">
      <c r="B107" s="465"/>
      <c r="C107" s="379"/>
      <c r="D107" s="379"/>
      <c r="E107" s="379"/>
    </row>
    <row r="108" spans="2:5" ht="25" customHeight="1" x14ac:dyDescent="0.35">
      <c r="B108" s="465"/>
      <c r="C108" s="379"/>
      <c r="D108" s="379"/>
      <c r="E108" s="379"/>
    </row>
    <row r="109" spans="2:5" ht="20.149999999999999" customHeight="1" x14ac:dyDescent="0.35">
      <c r="B109" s="465"/>
      <c r="C109" s="379"/>
      <c r="D109" s="379"/>
      <c r="E109" s="379"/>
    </row>
    <row r="110" spans="2:5" ht="20.149999999999999" customHeight="1" x14ac:dyDescent="0.35">
      <c r="B110" s="465"/>
      <c r="C110" s="379"/>
      <c r="D110" s="379"/>
      <c r="E110" s="379"/>
    </row>
    <row r="111" spans="2:5" ht="20.149999999999999" customHeight="1" x14ac:dyDescent="0.35">
      <c r="B111" s="379"/>
      <c r="C111" s="379"/>
      <c r="D111" s="379"/>
      <c r="E111" s="379"/>
    </row>
    <row r="112" spans="2:5" ht="25" customHeight="1" x14ac:dyDescent="0.35">
      <c r="B112" s="379"/>
      <c r="C112" s="379"/>
      <c r="D112" s="379"/>
      <c r="E112" s="379"/>
    </row>
    <row r="113" spans="1:7" ht="25" customHeight="1" x14ac:dyDescent="0.25">
      <c r="A113" s="811"/>
      <c r="B113" s="811"/>
      <c r="C113" s="811"/>
      <c r="D113" s="811"/>
      <c r="E113" s="811"/>
      <c r="F113" s="811"/>
      <c r="G113" s="811"/>
    </row>
    <row r="114" spans="1:7" ht="15.5" x14ac:dyDescent="0.35">
      <c r="B114" s="465"/>
      <c r="C114" s="379"/>
      <c r="D114" s="379"/>
      <c r="E114" s="379"/>
    </row>
    <row r="115" spans="1:7" ht="15.5" x14ac:dyDescent="0.35">
      <c r="B115" s="466"/>
      <c r="C115" s="19"/>
      <c r="D115" s="19"/>
      <c r="E115" s="379"/>
    </row>
    <row r="116" spans="1:7" ht="15.5" x14ac:dyDescent="0.35">
      <c r="B116" s="465"/>
      <c r="C116" s="379"/>
      <c r="D116" s="379"/>
      <c r="E116" s="379"/>
    </row>
    <row r="117" spans="1:7" ht="15.5" x14ac:dyDescent="0.35">
      <c r="B117" s="466"/>
      <c r="C117" s="19"/>
      <c r="D117" s="379"/>
      <c r="E117" s="379"/>
    </row>
    <row r="118" spans="1:7" ht="15.5" x14ac:dyDescent="0.35">
      <c r="B118" s="465"/>
      <c r="C118" s="379"/>
      <c r="D118" s="379"/>
      <c r="E118" s="379"/>
    </row>
    <row r="119" spans="1:7" ht="15.5" x14ac:dyDescent="0.35">
      <c r="B119" s="465"/>
      <c r="C119" s="379"/>
      <c r="D119" s="379"/>
      <c r="E119" s="379"/>
    </row>
    <row r="120" spans="1:7" ht="15.5" x14ac:dyDescent="0.35">
      <c r="B120" s="465"/>
      <c r="C120" s="379"/>
      <c r="D120" s="379"/>
      <c r="E120" s="379"/>
    </row>
    <row r="121" spans="1:7" ht="15.5" x14ac:dyDescent="0.35">
      <c r="B121" s="465"/>
      <c r="C121" s="379"/>
      <c r="D121" s="379"/>
      <c r="E121" s="379"/>
    </row>
    <row r="122" spans="1:7" ht="15.5" x14ac:dyDescent="0.35">
      <c r="B122" s="465"/>
      <c r="C122" s="379"/>
      <c r="D122" s="379"/>
      <c r="E122" s="379"/>
    </row>
    <row r="123" spans="1:7" ht="15.5" x14ac:dyDescent="0.35">
      <c r="B123" s="465"/>
      <c r="C123" s="379"/>
      <c r="D123" s="379"/>
      <c r="E123" s="379"/>
    </row>
    <row r="124" spans="1:7" ht="15.5" x14ac:dyDescent="0.35">
      <c r="B124" s="465"/>
      <c r="C124" s="379"/>
      <c r="D124" s="379"/>
      <c r="E124" s="379"/>
    </row>
    <row r="125" spans="1:7" ht="15.5" x14ac:dyDescent="0.35">
      <c r="B125" s="465"/>
      <c r="C125" s="379"/>
      <c r="D125" s="379"/>
      <c r="E125" s="379"/>
    </row>
    <row r="126" spans="1:7" ht="15.5" x14ac:dyDescent="0.35">
      <c r="B126" s="465"/>
      <c r="C126" s="379"/>
      <c r="D126" s="379"/>
      <c r="E126" s="379"/>
    </row>
    <row r="127" spans="1:7" ht="15.5" x14ac:dyDescent="0.35">
      <c r="B127" s="465"/>
      <c r="C127" s="379"/>
      <c r="D127" s="379"/>
      <c r="E127" s="379"/>
    </row>
    <row r="128" spans="1:7" ht="15.5" x14ac:dyDescent="0.35">
      <c r="B128" s="465"/>
      <c r="C128" s="379"/>
      <c r="D128" s="379"/>
      <c r="E128" s="379"/>
    </row>
    <row r="129" spans="2:5" ht="15.5" x14ac:dyDescent="0.35">
      <c r="B129" s="465"/>
      <c r="C129" s="379"/>
      <c r="D129" s="379"/>
      <c r="E129" s="379"/>
    </row>
    <row r="130" spans="2:5" ht="15.5" x14ac:dyDescent="0.35">
      <c r="B130" s="465"/>
      <c r="C130" s="379"/>
      <c r="D130" s="379"/>
      <c r="E130" s="379"/>
    </row>
    <row r="131" spans="2:5" ht="15.5" x14ac:dyDescent="0.35">
      <c r="B131" s="465"/>
      <c r="C131" s="379"/>
      <c r="D131" s="379"/>
      <c r="E131" s="379"/>
    </row>
    <row r="132" spans="2:5" ht="15.5" x14ac:dyDescent="0.35">
      <c r="B132" s="465"/>
      <c r="C132" s="379"/>
      <c r="D132" s="379"/>
      <c r="E132" s="379"/>
    </row>
    <row r="133" spans="2:5" ht="15.5" x14ac:dyDescent="0.35">
      <c r="B133" s="379"/>
      <c r="C133" s="379"/>
      <c r="D133" s="379"/>
      <c r="E133" s="379"/>
    </row>
    <row r="134" spans="2:5" ht="15.5" x14ac:dyDescent="0.35">
      <c r="B134" s="379"/>
      <c r="C134" s="379"/>
      <c r="D134" s="379"/>
      <c r="E134" s="379"/>
    </row>
    <row r="135" spans="2:5" ht="15.5" x14ac:dyDescent="0.35">
      <c r="B135" s="379"/>
      <c r="C135" s="379"/>
      <c r="D135" s="379"/>
      <c r="E135" s="379"/>
    </row>
    <row r="136" spans="2:5" ht="15.5" x14ac:dyDescent="0.35">
      <c r="B136" s="379"/>
      <c r="C136" s="379"/>
      <c r="D136" s="379"/>
      <c r="E136" s="379"/>
    </row>
    <row r="137" spans="2:5" ht="15.5" x14ac:dyDescent="0.35">
      <c r="B137" s="379"/>
      <c r="C137" s="379"/>
      <c r="D137" s="379"/>
      <c r="E137" s="379"/>
    </row>
    <row r="138" spans="2:5" ht="15.5" x14ac:dyDescent="0.35">
      <c r="B138" s="379"/>
      <c r="C138" s="379"/>
      <c r="D138" s="379"/>
      <c r="E138" s="379"/>
    </row>
    <row r="139" spans="2:5" ht="15.5" x14ac:dyDescent="0.35">
      <c r="B139" s="379"/>
      <c r="C139" s="379"/>
      <c r="D139" s="379"/>
      <c r="E139" s="379"/>
    </row>
    <row r="140" spans="2:5" ht="15.5" x14ac:dyDescent="0.35">
      <c r="B140" s="379"/>
      <c r="C140" s="379"/>
      <c r="D140" s="379"/>
      <c r="E140" s="379"/>
    </row>
    <row r="141" spans="2:5" ht="15.5" x14ac:dyDescent="0.35">
      <c r="E141" s="379"/>
    </row>
    <row r="142" spans="2:5" ht="15.5" x14ac:dyDescent="0.35">
      <c r="E142" s="379"/>
    </row>
    <row r="143" spans="2:5" ht="15.5" x14ac:dyDescent="0.35">
      <c r="E143" s="379"/>
    </row>
  </sheetData>
  <sheetProtection algorithmName="SHA-512" hashValue="kjkl+1BJZwcSolBt5e95UYjYwxoCcHHe8SphkncLGNmjoS19ORs3eNAvzOUO5/9c8KG8aGvgoXpgelukP1auqA==" saltValue="pG5GomHGMRtxyERr5NovYw==" spinCount="100000" sheet="1" objects="1" scenarios="1"/>
  <mergeCells count="4">
    <mergeCell ref="A113:G113"/>
    <mergeCell ref="B4:J4"/>
    <mergeCell ref="A2:J2"/>
    <mergeCell ref="A3:J3"/>
  </mergeCells>
  <phoneticPr fontId="0" type="noConversion"/>
  <pageMargins left="0.75" right="0.75" top="1" bottom="1" header="0.5" footer="0.5"/>
  <pageSetup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3"/>
  </sheetPr>
  <dimension ref="A1:AY377"/>
  <sheetViews>
    <sheetView showGridLines="0" tabSelected="1" showOutlineSymbols="0" zoomScale="90" zoomScaleNormal="90" zoomScaleSheetLayoutView="70" workbookViewId="0">
      <selection activeCell="A6" sqref="A6"/>
    </sheetView>
  </sheetViews>
  <sheetFormatPr defaultColWidth="8.7265625" defaultRowHeight="12.5" x14ac:dyDescent="0.25"/>
  <cols>
    <col min="1" max="1" width="21.26953125" customWidth="1"/>
    <col min="2" max="2" width="11.26953125" style="1" customWidth="1"/>
    <col min="3" max="3" width="10.7265625" style="1" customWidth="1"/>
    <col min="4" max="4" width="8.1796875" style="1" customWidth="1"/>
    <col min="5" max="5" width="10.26953125" customWidth="1"/>
    <col min="6" max="6" width="5.81640625" customWidth="1"/>
    <col min="7" max="7" width="10.7265625" customWidth="1"/>
    <col min="8" max="8" width="6.7265625" customWidth="1"/>
    <col min="9" max="9" width="6.81640625" customWidth="1"/>
    <col min="10" max="10" width="14.1796875" customWidth="1"/>
    <col min="11" max="11" width="12.26953125" customWidth="1"/>
    <col min="12" max="12" width="10.26953125" customWidth="1"/>
    <col min="13" max="13" width="10.453125" customWidth="1"/>
    <col min="14" max="14" width="7" customWidth="1"/>
    <col min="15" max="15" width="10.26953125" customWidth="1"/>
    <col min="16" max="16" width="7.1796875" customWidth="1"/>
    <col min="17" max="17" width="8.1796875" customWidth="1"/>
    <col min="18" max="18" width="9.81640625" customWidth="1"/>
    <col min="19" max="20" width="11.7265625" customWidth="1"/>
    <col min="21" max="21" width="6.453125" customWidth="1"/>
    <col min="22" max="22" width="16.7265625" customWidth="1"/>
    <col min="23" max="23" width="15.1796875" style="38" customWidth="1"/>
    <col min="24" max="24" width="14.453125" style="38" customWidth="1"/>
    <col min="25" max="25" width="15.453125" style="38" customWidth="1"/>
    <col min="26" max="27" width="13.54296875" style="38" bestFit="1" customWidth="1"/>
    <col min="28" max="30" width="9.81640625" customWidth="1"/>
    <col min="31" max="33" width="11.26953125" customWidth="1"/>
    <col min="34" max="34" width="14.54296875" customWidth="1"/>
    <col min="40" max="40" width="10.7265625" customWidth="1"/>
    <col min="41" max="41" width="10" customWidth="1"/>
    <col min="42" max="42" width="10.1796875" customWidth="1"/>
    <col min="43" max="43" width="4.1796875" customWidth="1"/>
    <col min="44" max="44" width="18.7265625" customWidth="1"/>
    <col min="45" max="45" width="11" customWidth="1"/>
    <col min="46" max="46" width="9.453125" customWidth="1"/>
    <col min="47" max="47" width="10.453125" customWidth="1"/>
    <col min="48" max="48" width="9.7265625" customWidth="1"/>
  </cols>
  <sheetData>
    <row r="1" spans="1:45" ht="13" x14ac:dyDescent="0.3">
      <c r="A1" s="866" t="s">
        <v>0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147"/>
      <c r="V1" s="582" t="s">
        <v>398</v>
      </c>
      <c r="W1" s="527"/>
      <c r="Y1" s="533" t="s">
        <v>438</v>
      </c>
      <c r="Z1" s="528"/>
      <c r="AA1" s="574"/>
      <c r="AE1" s="41" t="s">
        <v>1</v>
      </c>
      <c r="AF1" s="19"/>
      <c r="AG1" s="19"/>
      <c r="AH1" s="19"/>
    </row>
    <row r="2" spans="1:45" ht="13" x14ac:dyDescent="0.3">
      <c r="A2" s="866" t="s">
        <v>2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147"/>
      <c r="V2" s="352"/>
      <c r="W2" s="536" t="s">
        <v>447</v>
      </c>
      <c r="X2" s="536" t="s">
        <v>449</v>
      </c>
      <c r="Y2" s="536" t="s">
        <v>452</v>
      </c>
      <c r="Z2" s="536" t="s">
        <v>453</v>
      </c>
      <c r="AA2" s="536" t="s">
        <v>455</v>
      </c>
      <c r="AE2" s="19">
        <f>ENDDATE-CURRENTFYE</f>
        <v>-45107</v>
      </c>
      <c r="AF2" s="19" t="s">
        <v>3</v>
      </c>
      <c r="AG2" s="19"/>
      <c r="AH2" s="19"/>
    </row>
    <row r="3" spans="1:45" ht="13.5" thickBot="1" x14ac:dyDescent="0.35">
      <c r="A3" s="514" t="s">
        <v>458</v>
      </c>
      <c r="B3" s="58"/>
      <c r="C3" s="58"/>
      <c r="D3" s="58"/>
      <c r="E3" s="18"/>
      <c r="F3" s="18"/>
      <c r="G3" s="45"/>
      <c r="H3" s="45"/>
      <c r="I3" s="44"/>
      <c r="J3" s="18"/>
      <c r="K3" s="18"/>
      <c r="L3" s="18"/>
      <c r="M3" s="18"/>
      <c r="P3" s="18"/>
      <c r="Q3" s="18"/>
      <c r="V3" s="352"/>
      <c r="W3" s="534" t="s">
        <v>445</v>
      </c>
      <c r="X3" s="534" t="s">
        <v>448</v>
      </c>
      <c r="Y3" s="534" t="s">
        <v>450</v>
      </c>
      <c r="Z3" s="534" t="s">
        <v>451</v>
      </c>
      <c r="AA3" s="534" t="s">
        <v>454</v>
      </c>
      <c r="AE3" s="40">
        <f>IF(AND(CFYE_ED&gt;365,CFYE_ED&lt;=730),(1+INCREASE)^2,IF(AND(CFYE_ED&gt;730,CFYE_ED&lt;=1095),(1+INCREASE)^3,IF(AND(CFYE_ED&gt;1095,CFYE_ED&lt;=1460),(1+INCREASE)^4,IF(AND(CFYE_ED&gt;1460,CFYE_ED&lt;=1825),(1+INCREASE)^5,IF(AND(CFYE_ED&gt;1825,CFYE_ED&lt;=2190),(1+INCREASE)^6,IF(AND(CFYE_ED&gt;2190,CFYE_ED&lt;=2555),(1+INCREASE)^7,IF(AND(CFYE_ED&gt;2555,CFYE_ED&lt;=2920),(1+INCREASE)^8,1.041)))))))</f>
        <v>1.0409999999999999</v>
      </c>
      <c r="AF3" s="19" t="s">
        <v>4</v>
      </c>
      <c r="AG3" s="19"/>
      <c r="AH3" s="19"/>
    </row>
    <row r="4" spans="1:45" ht="13" thickBot="1" x14ac:dyDescent="0.3">
      <c r="A4" s="19"/>
      <c r="B4" s="58"/>
      <c r="C4" s="58"/>
      <c r="D4" s="58"/>
      <c r="E4" s="19"/>
      <c r="F4" s="19"/>
      <c r="G4" s="19"/>
      <c r="H4" s="19"/>
      <c r="I4" s="19"/>
      <c r="J4" s="19"/>
      <c r="K4" s="19"/>
      <c r="L4" s="19"/>
      <c r="M4" s="19"/>
      <c r="N4" s="257"/>
      <c r="O4" s="867" t="s">
        <v>292</v>
      </c>
      <c r="P4" s="868"/>
      <c r="Q4" s="869"/>
      <c r="V4" s="354" t="s">
        <v>251</v>
      </c>
      <c r="W4" s="535">
        <f>+W6+W5</f>
        <v>3519</v>
      </c>
      <c r="X4" s="535">
        <f>+X6+X5</f>
        <v>4047</v>
      </c>
      <c r="Y4" s="535">
        <f>+Y6+Y5</f>
        <v>4654</v>
      </c>
      <c r="Z4" s="535">
        <f>+Z6+Z5</f>
        <v>5352</v>
      </c>
      <c r="AA4" s="535">
        <f>+AA6+AA5</f>
        <v>6154</v>
      </c>
      <c r="AE4" s="19"/>
      <c r="AF4" s="19" t="s">
        <v>5</v>
      </c>
      <c r="AG4" s="19"/>
      <c r="AH4" s="19"/>
    </row>
    <row r="5" spans="1:45" x14ac:dyDescent="0.25">
      <c r="A5" s="19"/>
      <c r="B5" s="58"/>
      <c r="C5" s="58"/>
      <c r="D5" s="58" t="s">
        <v>330</v>
      </c>
      <c r="E5" s="889"/>
      <c r="F5" s="889"/>
      <c r="G5" s="890"/>
      <c r="H5" s="890"/>
      <c r="I5" s="890"/>
      <c r="J5" s="890"/>
      <c r="K5" s="890"/>
      <c r="L5" s="890"/>
      <c r="M5" s="65"/>
      <c r="N5" s="257"/>
      <c r="O5" s="870"/>
      <c r="P5" s="868"/>
      <c r="Q5" s="869"/>
      <c r="V5" s="354" t="s">
        <v>249</v>
      </c>
      <c r="W5" s="535">
        <v>1466</v>
      </c>
      <c r="X5" s="535">
        <v>1686</v>
      </c>
      <c r="Y5" s="535">
        <v>1939</v>
      </c>
      <c r="Z5" s="535">
        <v>2230</v>
      </c>
      <c r="AA5" s="535">
        <v>2564</v>
      </c>
      <c r="AB5" s="353"/>
      <c r="AE5" s="19">
        <v>365</v>
      </c>
      <c r="AF5" s="19" t="s">
        <v>7</v>
      </c>
      <c r="AG5" s="19"/>
      <c r="AH5" s="19"/>
    </row>
    <row r="6" spans="1:45" x14ac:dyDescent="0.25">
      <c r="A6" s="19"/>
      <c r="B6" s="58"/>
      <c r="C6" s="58"/>
      <c r="D6" s="58" t="s">
        <v>331</v>
      </c>
      <c r="E6" s="889"/>
      <c r="F6" s="889"/>
      <c r="G6" s="890"/>
      <c r="H6" s="890"/>
      <c r="I6" s="890"/>
      <c r="J6" s="890"/>
      <c r="K6" s="890"/>
      <c r="L6" s="890"/>
      <c r="M6" s="63"/>
      <c r="N6" s="258"/>
      <c r="O6" s="849" t="s">
        <v>125</v>
      </c>
      <c r="P6" s="850"/>
      <c r="Q6" s="851"/>
      <c r="V6" s="354" t="s">
        <v>252</v>
      </c>
      <c r="W6" s="535">
        <v>2053</v>
      </c>
      <c r="X6" s="535">
        <v>2361</v>
      </c>
      <c r="Y6" s="535">
        <v>2715</v>
      </c>
      <c r="Z6" s="535">
        <v>3122</v>
      </c>
      <c r="AA6" s="535">
        <v>3590</v>
      </c>
      <c r="AB6" s="353"/>
      <c r="AE6" s="19"/>
      <c r="AF6" s="19" t="s">
        <v>9</v>
      </c>
      <c r="AG6" s="19"/>
      <c r="AH6" s="19"/>
    </row>
    <row r="7" spans="1:45" x14ac:dyDescent="0.25">
      <c r="A7" s="19"/>
      <c r="B7" s="58"/>
      <c r="C7" s="58"/>
      <c r="D7" s="58" t="s">
        <v>332</v>
      </c>
      <c r="E7" s="889"/>
      <c r="F7" s="889"/>
      <c r="G7" s="890"/>
      <c r="H7" s="890"/>
      <c r="I7" s="890"/>
      <c r="J7" s="890"/>
      <c r="K7" s="890"/>
      <c r="L7" s="890"/>
      <c r="M7" s="63"/>
      <c r="N7" s="259"/>
      <c r="O7" s="849" t="s">
        <v>272</v>
      </c>
      <c r="P7" s="850"/>
      <c r="Q7" s="853"/>
      <c r="V7" s="354"/>
      <c r="W7" s="535"/>
      <c r="X7" s="535"/>
      <c r="Y7" s="535"/>
      <c r="Z7" s="535"/>
      <c r="AA7" s="535"/>
      <c r="AB7" s="573"/>
      <c r="AE7" s="19"/>
      <c r="AF7" s="19" t="s">
        <v>11</v>
      </c>
      <c r="AG7" s="19"/>
      <c r="AH7" s="19"/>
    </row>
    <row r="8" spans="1:45" ht="13" thickBot="1" x14ac:dyDescent="0.3">
      <c r="A8" s="19"/>
      <c r="B8" s="58"/>
      <c r="C8" s="58"/>
      <c r="D8" s="58" t="s">
        <v>333</v>
      </c>
      <c r="E8" s="889"/>
      <c r="F8" s="889"/>
      <c r="G8" s="890"/>
      <c r="H8" s="890"/>
      <c r="I8" s="890"/>
      <c r="J8" s="890"/>
      <c r="K8" s="890"/>
      <c r="L8" s="890"/>
      <c r="M8" s="63"/>
      <c r="N8" s="258"/>
      <c r="O8" s="872" t="s">
        <v>271</v>
      </c>
      <c r="P8" s="873"/>
      <c r="Q8" s="874"/>
      <c r="V8" s="571" t="s">
        <v>250</v>
      </c>
      <c r="W8" s="572">
        <v>880</v>
      </c>
      <c r="X8" s="572">
        <v>1012</v>
      </c>
      <c r="Y8" s="572">
        <v>1163</v>
      </c>
      <c r="Z8" s="572">
        <v>1338</v>
      </c>
      <c r="AA8" s="572">
        <v>1539</v>
      </c>
      <c r="AB8" s="570"/>
      <c r="AE8" s="19"/>
      <c r="AG8" s="19"/>
      <c r="AH8" s="19"/>
    </row>
    <row r="9" spans="1:45" ht="13" x14ac:dyDescent="0.3">
      <c r="A9" s="19"/>
      <c r="B9" s="58"/>
      <c r="C9" s="58"/>
      <c r="D9" s="58"/>
      <c r="E9" s="19"/>
      <c r="F9" s="19"/>
      <c r="G9" s="19"/>
      <c r="H9" s="19"/>
      <c r="I9" s="19"/>
      <c r="J9" s="19"/>
      <c r="K9" s="31"/>
      <c r="L9" s="19"/>
      <c r="M9" s="63"/>
      <c r="N9" s="258"/>
      <c r="O9" s="849" t="s">
        <v>269</v>
      </c>
      <c r="P9" s="850"/>
      <c r="Q9" s="851"/>
      <c r="V9" s="575"/>
      <c r="W9" s="576"/>
      <c r="X9" s="528"/>
      <c r="Y9" s="528"/>
      <c r="Z9" s="528"/>
      <c r="AA9" s="528"/>
      <c r="AB9" s="570"/>
      <c r="AM9" s="839"/>
      <c r="AN9" s="839"/>
      <c r="AO9" s="839"/>
      <c r="AP9" s="839"/>
      <c r="AQ9" s="839"/>
      <c r="AR9" s="839"/>
      <c r="AS9" s="839"/>
    </row>
    <row r="10" spans="1:45" x14ac:dyDescent="0.25">
      <c r="A10" s="19"/>
      <c r="B10" s="58"/>
      <c r="C10" s="58"/>
      <c r="D10" s="58" t="s">
        <v>334</v>
      </c>
      <c r="E10" s="234">
        <v>45107</v>
      </c>
      <c r="F10" s="242"/>
      <c r="H10" s="835" t="s">
        <v>327</v>
      </c>
      <c r="I10" s="836"/>
      <c r="J10" s="836"/>
      <c r="K10" s="836"/>
      <c r="L10" s="165"/>
      <c r="M10" s="63"/>
      <c r="N10" s="258"/>
      <c r="O10" s="849" t="s">
        <v>270</v>
      </c>
      <c r="P10" s="850"/>
      <c r="Q10" s="853"/>
      <c r="W10"/>
      <c r="X10"/>
      <c r="Y10"/>
      <c r="Z10"/>
      <c r="AA10"/>
      <c r="AM10" s="341"/>
      <c r="AN10" s="341"/>
      <c r="AO10" s="341"/>
      <c r="AP10" s="341"/>
      <c r="AQ10" s="341"/>
      <c r="AR10" s="341"/>
      <c r="AS10" s="341"/>
    </row>
    <row r="11" spans="1:45" x14ac:dyDescent="0.25">
      <c r="A11" s="19"/>
      <c r="B11" s="58"/>
      <c r="C11" s="58"/>
      <c r="D11" s="58" t="s">
        <v>335</v>
      </c>
      <c r="E11" s="538"/>
      <c r="F11" s="243"/>
      <c r="H11" s="835" t="s">
        <v>181</v>
      </c>
      <c r="I11" s="836"/>
      <c r="J11" s="836"/>
      <c r="K11" s="836"/>
      <c r="L11" s="66">
        <f>IF(AND(STARTDATE="",ENDDATE=""),0,ROUNDUP(totalyrs,0))</f>
        <v>0</v>
      </c>
      <c r="M11" s="63"/>
      <c r="N11" s="258"/>
      <c r="O11" s="849" t="s">
        <v>126</v>
      </c>
      <c r="P11" s="850"/>
      <c r="Q11" s="851"/>
      <c r="W11"/>
      <c r="X11"/>
      <c r="Y11"/>
      <c r="Z11"/>
      <c r="AA11"/>
      <c r="AM11" s="341"/>
      <c r="AN11" s="342"/>
      <c r="AO11" s="342"/>
      <c r="AP11" s="342"/>
      <c r="AQ11" s="342"/>
      <c r="AR11" s="342"/>
      <c r="AS11" s="342"/>
    </row>
    <row r="12" spans="1:45" x14ac:dyDescent="0.25">
      <c r="A12" s="19"/>
      <c r="B12" s="58"/>
      <c r="C12" s="58"/>
      <c r="D12" s="58" t="s">
        <v>336</v>
      </c>
      <c r="E12" s="537"/>
      <c r="F12" s="243"/>
      <c r="H12" s="835" t="s">
        <v>112</v>
      </c>
      <c r="I12" s="836"/>
      <c r="J12" s="836"/>
      <c r="K12" s="836"/>
      <c r="L12" s="66">
        <f>ABS(CURRENTFYE-ENDDATE)</f>
        <v>45107</v>
      </c>
      <c r="M12" s="64"/>
      <c r="N12" s="258"/>
      <c r="O12" s="849" t="s">
        <v>128</v>
      </c>
      <c r="P12" s="852"/>
      <c r="Q12" s="853"/>
      <c r="W12"/>
      <c r="X12"/>
      <c r="Y12"/>
      <c r="Z12"/>
      <c r="AA12"/>
      <c r="AE12" s="42"/>
      <c r="AF12" s="42"/>
      <c r="AG12" s="42"/>
      <c r="AM12" s="341"/>
      <c r="AN12" s="342"/>
      <c r="AO12" s="342"/>
      <c r="AP12" s="342"/>
      <c r="AQ12" s="342"/>
      <c r="AR12" s="342"/>
      <c r="AS12" s="342"/>
    </row>
    <row r="13" spans="1:45" ht="21" customHeight="1" x14ac:dyDescent="0.4">
      <c r="A13" s="485" t="s">
        <v>337</v>
      </c>
      <c r="B13" s="488" t="s">
        <v>345</v>
      </c>
      <c r="C13" s="344"/>
      <c r="D13" s="58"/>
      <c r="E13" s="481"/>
      <c r="F13" s="243"/>
      <c r="H13" s="58"/>
      <c r="I13" s="147"/>
      <c r="J13" s="147"/>
      <c r="K13" s="147"/>
      <c r="L13" s="339"/>
      <c r="M13" s="64"/>
      <c r="N13" s="258"/>
      <c r="O13" s="857" t="s">
        <v>324</v>
      </c>
      <c r="P13" s="871"/>
      <c r="Q13" s="859"/>
      <c r="W13"/>
      <c r="X13"/>
      <c r="Y13"/>
      <c r="Z13"/>
      <c r="AA13"/>
      <c r="AE13" s="42"/>
      <c r="AF13" s="42"/>
      <c r="AG13" s="42"/>
      <c r="AM13" s="341"/>
      <c r="AN13" s="342"/>
      <c r="AO13" s="342"/>
      <c r="AP13" s="342"/>
      <c r="AQ13" s="342"/>
      <c r="AR13" s="342"/>
      <c r="AS13" s="342"/>
    </row>
    <row r="14" spans="1:45" ht="13.5" customHeight="1" x14ac:dyDescent="0.4">
      <c r="A14" s="380"/>
      <c r="C14" s="490" t="s">
        <v>446</v>
      </c>
      <c r="D14" s="482"/>
      <c r="E14" s="482"/>
      <c r="G14" s="19"/>
      <c r="H14" s="19"/>
      <c r="I14" s="19"/>
      <c r="J14" s="19"/>
      <c r="K14" s="252"/>
      <c r="L14" s="48"/>
      <c r="N14" s="260"/>
      <c r="O14" s="857" t="s">
        <v>325</v>
      </c>
      <c r="P14" s="858"/>
      <c r="Q14" s="859"/>
      <c r="W14"/>
      <c r="X14"/>
      <c r="Y14"/>
      <c r="Z14"/>
      <c r="AA14"/>
      <c r="AE14" s="42" t="s">
        <v>13</v>
      </c>
      <c r="AF14" s="42"/>
      <c r="AG14" s="42"/>
      <c r="AH14" s="42"/>
      <c r="AM14" s="341"/>
      <c r="AN14" s="342"/>
      <c r="AO14" s="342"/>
      <c r="AP14" s="342"/>
      <c r="AQ14" s="342"/>
      <c r="AR14" s="342"/>
      <c r="AS14" s="342"/>
    </row>
    <row r="15" spans="1:45" ht="19" customHeight="1" x14ac:dyDescent="0.25">
      <c r="A15" s="65" t="s">
        <v>329</v>
      </c>
      <c r="B15" s="513"/>
      <c r="C15" s="489" t="s">
        <v>338</v>
      </c>
      <c r="D15" s="491"/>
      <c r="E15" s="486" t="s">
        <v>328</v>
      </c>
      <c r="G15" s="835" t="s">
        <v>140</v>
      </c>
      <c r="H15" s="836"/>
      <c r="I15" s="836"/>
      <c r="J15" s="836"/>
      <c r="K15" s="836"/>
      <c r="L15" s="81">
        <f>ROUND((ENDDATE-STARTDATE)/(365.25/12),0)</f>
        <v>0</v>
      </c>
      <c r="M15" s="47"/>
      <c r="N15" s="159"/>
      <c r="O15" s="860" t="s">
        <v>290</v>
      </c>
      <c r="P15" s="861"/>
      <c r="Q15" s="862"/>
      <c r="W15"/>
      <c r="X15"/>
      <c r="Y15"/>
      <c r="Z15"/>
      <c r="AA15"/>
      <c r="AE15" s="19" t="s">
        <v>15</v>
      </c>
      <c r="AF15" s="19" t="s">
        <v>15</v>
      </c>
      <c r="AG15" s="19" t="s">
        <v>16</v>
      </c>
      <c r="AH15" s="19" t="s">
        <v>16</v>
      </c>
    </row>
    <row r="16" spans="1:45" ht="18.75" customHeight="1" thickBot="1" x14ac:dyDescent="0.35">
      <c r="A16" s="487" t="s">
        <v>322</v>
      </c>
      <c r="B16" s="39"/>
      <c r="C16" s="492"/>
      <c r="D16" s="483"/>
      <c r="G16" s="835" t="s">
        <v>113</v>
      </c>
      <c r="H16" s="836"/>
      <c r="I16" s="836"/>
      <c r="J16" s="836"/>
      <c r="K16" s="836"/>
      <c r="L16" s="20">
        <v>1.67E-2</v>
      </c>
      <c r="M16" s="19"/>
      <c r="O16" s="854" t="s">
        <v>291</v>
      </c>
      <c r="P16" s="855"/>
      <c r="Q16" s="856"/>
      <c r="W16"/>
      <c r="X16"/>
      <c r="Y16"/>
      <c r="Z16"/>
      <c r="AA16"/>
      <c r="AE16" s="19" t="s">
        <v>17</v>
      </c>
      <c r="AF16" s="19" t="s">
        <v>18</v>
      </c>
      <c r="AG16" s="19" t="s">
        <v>17</v>
      </c>
      <c r="AH16" s="19" t="s">
        <v>18</v>
      </c>
    </row>
    <row r="17" spans="1:51" ht="12.75" customHeight="1" x14ac:dyDescent="0.25">
      <c r="A17" s="65" t="s">
        <v>323</v>
      </c>
      <c r="B17" s="512"/>
      <c r="C17" s="508" t="s">
        <v>349</v>
      </c>
      <c r="D17" s="58"/>
      <c r="G17" s="835" t="s">
        <v>114</v>
      </c>
      <c r="H17" s="836"/>
      <c r="I17" s="836"/>
      <c r="J17" s="836"/>
      <c r="K17" s="836"/>
      <c r="L17" s="21">
        <f>SUM(AE17:AH17)</f>
        <v>1</v>
      </c>
      <c r="M17" s="19"/>
      <c r="O17" s="395"/>
      <c r="P17" s="395"/>
      <c r="Q17" s="843" t="s">
        <v>296</v>
      </c>
      <c r="R17" s="841" t="s">
        <v>297</v>
      </c>
      <c r="V17" s="577"/>
      <c r="W17" s="579"/>
      <c r="X17" s="579"/>
      <c r="Y17" s="579"/>
      <c r="Z17" s="579"/>
      <c r="AA17" s="579"/>
      <c r="AE17" s="40">
        <f>IF(PERIOD1&lt;365,IF(ENDDATE&lt;=CURRENTFYE,PERIOD1/365,0),0)</f>
        <v>0</v>
      </c>
      <c r="AF17" s="40">
        <f>IF(PERIOD1&lt;365,IF(ENDDATE&gt;CURRENTFYE,CFYE_EDPCNT*(PERIOD1/365),0),0)</f>
        <v>0</v>
      </c>
      <c r="AG17" s="40">
        <f>IF(PERIOD1&gt;=365,IF(ENDDATE&lt;=CURRENTFYE,1,0),0)</f>
        <v>1</v>
      </c>
      <c r="AH17" s="40">
        <f>IF(PERIOD1&gt;=365,IF(ENDDATE&gt;CURRENTFYE,1+(INCREASE*ENDDAYS/365),0),0)</f>
        <v>0</v>
      </c>
    </row>
    <row r="18" spans="1:51" ht="16.399999999999999" customHeight="1" thickBot="1" x14ac:dyDescent="0.35">
      <c r="A18" s="65" t="s">
        <v>321</v>
      </c>
      <c r="B18" s="504"/>
      <c r="C18" s="508" t="s">
        <v>350</v>
      </c>
      <c r="D18" s="58"/>
      <c r="E18" s="255" t="s">
        <v>215</v>
      </c>
      <c r="F18" s="515"/>
      <c r="G18" s="881" t="s">
        <v>359</v>
      </c>
      <c r="H18" s="838"/>
      <c r="I18" s="838"/>
      <c r="J18" s="838"/>
      <c r="K18" s="838"/>
      <c r="L18" s="337">
        <v>212100</v>
      </c>
      <c r="M18" s="245"/>
      <c r="N18" s="244"/>
      <c r="O18" s="244"/>
      <c r="P18" s="147"/>
      <c r="Q18" s="844"/>
      <c r="R18" s="842"/>
      <c r="S18" s="19"/>
      <c r="T18" s="19"/>
      <c r="U18" s="19"/>
      <c r="AB18" s="19"/>
      <c r="AC18" s="19"/>
      <c r="AD18" s="19"/>
      <c r="AE18" s="19"/>
      <c r="AF18" s="19"/>
      <c r="AG18" s="19" t="s">
        <v>14</v>
      </c>
    </row>
    <row r="19" spans="1:51" ht="15.75" customHeight="1" thickBot="1" x14ac:dyDescent="0.35">
      <c r="A19" s="65" t="s">
        <v>326</v>
      </c>
      <c r="B19" s="505"/>
      <c r="C19" s="508" t="s">
        <v>351</v>
      </c>
      <c r="D19" s="58"/>
      <c r="E19" s="254" t="s">
        <v>212</v>
      </c>
      <c r="F19" s="554" t="str">
        <f>IFERROR(IF(SALCAPAPPLIES="X","X",""),"")</f>
        <v/>
      </c>
      <c r="G19" s="837" t="s">
        <v>237</v>
      </c>
      <c r="H19" s="838"/>
      <c r="I19" s="838"/>
      <c r="J19" s="838"/>
      <c r="K19" s="838"/>
      <c r="L19" s="498">
        <v>999999</v>
      </c>
      <c r="M19" s="19"/>
      <c r="P19" s="147"/>
      <c r="Q19" s="844"/>
      <c r="R19" s="842"/>
      <c r="S19" s="434"/>
      <c r="T19" s="19"/>
      <c r="U19" s="19"/>
      <c r="AB19" s="19"/>
      <c r="AC19" s="19"/>
      <c r="AD19" s="19"/>
      <c r="AE19" s="19"/>
      <c r="AF19" s="19"/>
      <c r="AG19" s="19"/>
      <c r="AN19" s="187" t="s">
        <v>205</v>
      </c>
    </row>
    <row r="20" spans="1:51" ht="23.25" customHeight="1" x14ac:dyDescent="0.3">
      <c r="A20" s="506" t="s">
        <v>348</v>
      </c>
      <c r="B20" s="511"/>
      <c r="C20" s="499">
        <f>IF(B20&gt;0,B20,(IF(AND(B15="X",B18="X"),0.45,(IF(AND(B15="X",B19="X"),0.54,(IF(AND(D15="X",B18="X"),0.26,(IF(AND(D15="X",B19="X"),0.29,IF(AND(D15="X",B17="X"),0.26,0))))))))))</f>
        <v>0</v>
      </c>
      <c r="D20" s="58"/>
      <c r="E20" s="19"/>
      <c r="F20" s="19"/>
      <c r="G20" s="875" t="s">
        <v>238</v>
      </c>
      <c r="H20" s="876"/>
      <c r="I20" s="876"/>
      <c r="J20" s="876"/>
      <c r="K20" s="876"/>
      <c r="L20" s="19"/>
      <c r="M20" s="19"/>
      <c r="P20" s="19"/>
      <c r="Q20" s="401"/>
      <c r="R20" s="402"/>
      <c r="S20" s="840"/>
      <c r="T20" s="484" t="s">
        <v>79</v>
      </c>
      <c r="U20" s="422"/>
      <c r="V20" s="898" t="s">
        <v>372</v>
      </c>
      <c r="W20" s="899"/>
      <c r="X20" s="899"/>
      <c r="Y20" s="900"/>
      <c r="Z20" s="557"/>
      <c r="AA20" s="557"/>
      <c r="AE20" s="17" t="s">
        <v>19</v>
      </c>
      <c r="AF20" s="17"/>
      <c r="AG20" s="17"/>
      <c r="AH20" s="39" t="s">
        <v>20</v>
      </c>
      <c r="AK20" s="17" t="s">
        <v>19</v>
      </c>
      <c r="AL20" s="17"/>
      <c r="AM20" s="17"/>
      <c r="AN20" s="17"/>
      <c r="AO20" s="39" t="s">
        <v>20</v>
      </c>
      <c r="AY20" s="346"/>
    </row>
    <row r="21" spans="1:51" ht="12.75" customHeight="1" x14ac:dyDescent="0.25">
      <c r="A21" s="829" t="s">
        <v>265</v>
      </c>
      <c r="B21" s="820"/>
      <c r="C21" s="404"/>
      <c r="D21" s="251"/>
      <c r="E21" s="629" t="s">
        <v>21</v>
      </c>
      <c r="F21" s="630"/>
      <c r="G21" s="631" t="s">
        <v>214</v>
      </c>
      <c r="H21" s="631" t="s">
        <v>109</v>
      </c>
      <c r="I21" s="632" t="s">
        <v>28</v>
      </c>
      <c r="J21" s="297" t="s">
        <v>209</v>
      </c>
      <c r="K21" s="297"/>
      <c r="L21" s="343" t="s">
        <v>23</v>
      </c>
      <c r="M21" s="297" t="s">
        <v>23</v>
      </c>
      <c r="N21" s="845" t="s">
        <v>24</v>
      </c>
      <c r="O21" s="846"/>
      <c r="P21" s="398" t="s">
        <v>23</v>
      </c>
      <c r="Q21" s="397"/>
      <c r="R21" s="389" t="s">
        <v>294</v>
      </c>
      <c r="S21" s="840"/>
      <c r="T21" s="431" t="s">
        <v>276</v>
      </c>
      <c r="U21" s="424"/>
      <c r="V21" s="901" t="s">
        <v>373</v>
      </c>
      <c r="W21" s="902"/>
      <c r="X21" s="902"/>
      <c r="Y21" s="903"/>
      <c r="Z21" s="558"/>
      <c r="AA21" s="559"/>
      <c r="AB21" s="46"/>
      <c r="AC21" s="46"/>
      <c r="AD21" s="46"/>
      <c r="AE21" s="17" t="s">
        <v>25</v>
      </c>
      <c r="AF21" s="17"/>
      <c r="AG21" s="17"/>
      <c r="AH21" s="17"/>
      <c r="AI21" s="25" t="s">
        <v>26</v>
      </c>
      <c r="AK21" s="19"/>
      <c r="AL21" s="17" t="s">
        <v>25</v>
      </c>
      <c r="AM21" s="17"/>
      <c r="AN21" s="17"/>
      <c r="AO21" s="17"/>
      <c r="AP21" s="25" t="s">
        <v>26</v>
      </c>
      <c r="AQ21" s="25"/>
      <c r="AY21" s="345"/>
    </row>
    <row r="22" spans="1:51" ht="13" thickBot="1" x14ac:dyDescent="0.3">
      <c r="A22" s="819" t="s">
        <v>266</v>
      </c>
      <c r="B22" s="820"/>
      <c r="C22" s="405" t="s">
        <v>131</v>
      </c>
      <c r="D22" s="293" t="s">
        <v>235</v>
      </c>
      <c r="E22" s="633" t="s">
        <v>29</v>
      </c>
      <c r="F22" s="634" t="s">
        <v>228</v>
      </c>
      <c r="G22" s="635" t="s">
        <v>29</v>
      </c>
      <c r="H22" s="635" t="s">
        <v>110</v>
      </c>
      <c r="I22" s="636" t="s">
        <v>132</v>
      </c>
      <c r="J22" s="293" t="s">
        <v>131</v>
      </c>
      <c r="K22" s="293" t="s">
        <v>29</v>
      </c>
      <c r="L22" s="391" t="s">
        <v>223</v>
      </c>
      <c r="M22" s="293" t="s">
        <v>30</v>
      </c>
      <c r="N22" s="823" t="s">
        <v>29</v>
      </c>
      <c r="O22" s="824"/>
      <c r="P22" s="399" t="s">
        <v>223</v>
      </c>
      <c r="Q22" s="293" t="s">
        <v>131</v>
      </c>
      <c r="R22" s="392" t="s">
        <v>70</v>
      </c>
      <c r="S22" s="840"/>
      <c r="T22" s="431" t="s">
        <v>316</v>
      </c>
      <c r="U22" s="424"/>
      <c r="V22" s="904"/>
      <c r="W22" s="905"/>
      <c r="X22" s="902"/>
      <c r="Y22" s="903"/>
      <c r="Z22" s="559"/>
      <c r="AA22" s="559"/>
      <c r="AB22" s="46"/>
      <c r="AC22" s="46"/>
      <c r="AD22" s="46"/>
      <c r="AE22" s="25" t="s">
        <v>17</v>
      </c>
      <c r="AF22" s="25" t="str">
        <f>AE22</f>
        <v>ED&lt;=CYFE</v>
      </c>
      <c r="AG22" s="25" t="s">
        <v>18</v>
      </c>
      <c r="AH22" s="25" t="str">
        <f>AG22</f>
        <v>ED&gt;CYFE</v>
      </c>
      <c r="AI22" s="25" t="s">
        <v>31</v>
      </c>
      <c r="AK22" s="19"/>
      <c r="AL22" s="25" t="s">
        <v>17</v>
      </c>
      <c r="AM22" s="25" t="str">
        <f>AL22</f>
        <v>ED&lt;=CYFE</v>
      </c>
      <c r="AN22" s="25" t="s">
        <v>18</v>
      </c>
      <c r="AO22" s="25" t="str">
        <f>AN22</f>
        <v>ED&gt;CYFE</v>
      </c>
      <c r="AP22" s="25" t="s">
        <v>31</v>
      </c>
      <c r="AQ22" s="25"/>
      <c r="AY22" s="345"/>
    </row>
    <row r="23" spans="1:51" ht="13" thickBot="1" x14ac:dyDescent="0.3">
      <c r="A23" s="502" t="s">
        <v>225</v>
      </c>
      <c r="B23" s="406" t="s">
        <v>227</v>
      </c>
      <c r="C23" s="294" t="s">
        <v>132</v>
      </c>
      <c r="D23" s="294" t="s">
        <v>229</v>
      </c>
      <c r="E23" s="637" t="s">
        <v>27</v>
      </c>
      <c r="F23" s="638" t="s">
        <v>229</v>
      </c>
      <c r="G23" s="639" t="s">
        <v>136</v>
      </c>
      <c r="H23" s="639" t="s">
        <v>33</v>
      </c>
      <c r="I23" s="640" t="s">
        <v>79</v>
      </c>
      <c r="J23" s="294" t="s">
        <v>29</v>
      </c>
      <c r="K23" s="294" t="s">
        <v>34</v>
      </c>
      <c r="L23" s="263" t="s">
        <v>35</v>
      </c>
      <c r="M23" s="294" t="s">
        <v>36</v>
      </c>
      <c r="N23" s="827" t="s">
        <v>37</v>
      </c>
      <c r="O23" s="828"/>
      <c r="P23" s="400" t="s">
        <v>38</v>
      </c>
      <c r="Q23" s="294" t="s">
        <v>293</v>
      </c>
      <c r="R23" s="390" t="s">
        <v>295</v>
      </c>
      <c r="S23" s="840"/>
      <c r="T23" s="432" t="s">
        <v>301</v>
      </c>
      <c r="U23" s="424"/>
      <c r="V23" s="906"/>
      <c r="W23" s="907"/>
      <c r="X23" s="560" t="s">
        <v>379</v>
      </c>
      <c r="Y23" s="560" t="s">
        <v>380</v>
      </c>
      <c r="Z23" s="558"/>
      <c r="AA23" s="559"/>
      <c r="AB23" s="46"/>
      <c r="AC23" s="46"/>
      <c r="AD23" s="46"/>
      <c r="AE23" s="25" t="s">
        <v>39</v>
      </c>
      <c r="AF23" s="25" t="s">
        <v>40</v>
      </c>
      <c r="AG23" s="25" t="str">
        <f>AE23</f>
        <v>Sal&lt;Max</v>
      </c>
      <c r="AH23" s="25" t="str">
        <f>AF23</f>
        <v>Sal&gt;=Max</v>
      </c>
      <c r="AI23" s="25">
        <f>IF(MOD(YEAR(ENDDATE),4)=0,365,365)</f>
        <v>365</v>
      </c>
      <c r="AK23" s="25"/>
      <c r="AL23" s="25" t="s">
        <v>39</v>
      </c>
      <c r="AM23" s="25" t="s">
        <v>40</v>
      </c>
      <c r="AN23" s="25" t="str">
        <f>AL23</f>
        <v>Sal&lt;Max</v>
      </c>
      <c r="AO23" s="25" t="str">
        <f>AM23</f>
        <v>Sal&gt;=Max</v>
      </c>
      <c r="AP23" s="25">
        <f>IF(MOD(YEAR(ENDDATE),4)=0,365,365)</f>
        <v>365</v>
      </c>
      <c r="AQ23" s="25"/>
      <c r="AY23" s="345"/>
    </row>
    <row r="24" spans="1:51" x14ac:dyDescent="0.25">
      <c r="A24" s="540"/>
      <c r="B24" s="613"/>
      <c r="C24" s="620"/>
      <c r="D24" s="616"/>
      <c r="E24" s="606"/>
      <c r="F24" s="746" t="str">
        <f t="shared" ref="F24:F63" si="0">IF(SUM(H24*D24)*C24 = 0,"",SUM(H24*D24)*C24)</f>
        <v/>
      </c>
      <c r="G24" s="625" t="str">
        <f t="shared" ref="G24:G63" si="1">IF(OR($F$18="X",$F$18="x"),IF((E24*FACTOR*yr1percent)&gt;$L$18,$L$18,J24),J24)</f>
        <v/>
      </c>
      <c r="H24" s="749"/>
      <c r="I24" s="607" t="str">
        <f t="shared" ref="I24:I63" si="2">IF($L$15/12*H24*D24/12*C24=0,"",$L$15/12*H24*D24/12*C24)</f>
        <v/>
      </c>
      <c r="J24" s="188" t="str">
        <f>IF((SUM(AL24:AO24))=0,"",(SUM(AL24:AO24)))</f>
        <v/>
      </c>
      <c r="K24" s="188" t="str">
        <f t="shared" ref="K24:K63" si="3">IFERROR(ROUND(G24*I24,0),"")</f>
        <v/>
      </c>
      <c r="L24" s="624" t="str">
        <f>IFERROR(IF(IF(H24=0,0,IF(OR(P24="G",P24="T",P24="S",P24="W",Q24="R"),IF(Q24=0,VLOOKUP(P24,fringes,2,FALSE),$B$360),IF(OR(P24="F",P24="A",P24="O",P24="L",P24="P"),IF(C24&lt;0.25,0.11,IF(C24&lt;0.5,0.21,(Year1Weight*VLOOKUP(P24,FringeTable,2,FALSE)+Year2Weight*VLOOKUP(P24,FringeTable,3,FALSE)+Year3Weight*VLOOKUP(P24,FringeTable,4,FALSE)))))))=0,"",IF(H24=0,0,IF(OR(P24="G",P24="T",P24="S",P24="W",Q24="R"),IF(Q24=0,VLOOKUP(P24,fringes,2,FALSE),$B$360),IF(OR(P24="F",P24="A",P24="O",P24="L",P24="P"),IF(C24&lt;0.25,0.11,IF(C24&lt;0.5,0.21,(Year1Weight*VLOOKUP(P24,FringeTable,2,FALSE)+Year2Weight*VLOOKUP(P24,FringeTable,3,FALSE)+Year3Weight*VLOOKUP(P24,FringeTable,4,FALSE)))))))),"")</f>
        <v/>
      </c>
      <c r="M24" s="625" t="str">
        <f>IFERROR(IF(IF(H24&gt;0,(R24+(ROUND(K24*L24,0))),0)=0,"",IF(H24&gt;0,(R24+(ROUND(K24*L24,0))),0)),"")</f>
        <v/>
      </c>
      <c r="N24" s="833" t="str">
        <f t="shared" ref="N24:N63" si="4">IFERROR(K24+M24,"")</f>
        <v/>
      </c>
      <c r="O24" s="834"/>
      <c r="P24" s="542"/>
      <c r="Q24" s="546"/>
      <c r="R24" s="545"/>
      <c r="S24" s="433"/>
      <c r="T24" s="394">
        <f>IFERROR(IF((E24*$L$17)&gt;$L$18,(((E24*$L$17)-$L$18)*H24*(1+L24)),0),"")</f>
        <v>0</v>
      </c>
      <c r="U24" s="425"/>
      <c r="V24" s="555"/>
      <c r="W24" s="569" t="s">
        <v>393</v>
      </c>
      <c r="X24" s="561" t="s">
        <v>381</v>
      </c>
      <c r="Y24" s="562" t="s">
        <v>382</v>
      </c>
      <c r="Z24" s="559"/>
      <c r="AA24" s="559"/>
      <c r="AB24" s="47"/>
      <c r="AC24" s="47"/>
      <c r="AD24" s="47"/>
      <c r="AE24" s="19">
        <f>ROUND(IF(AND(ENDDATE&lt;=CURRENTFYE,E24*FACTOR*yr1percent&lt;MAXSAL,),E24*FACTOR*yr1percent,0),0)</f>
        <v>0</v>
      </c>
      <c r="AF24" s="19">
        <f t="shared" ref="AF24:AF63" si="5">ROUND(IF(AND(ENDDATE&lt;=CURRENTFYE,E24*FACTOR*yr1percent&gt;=MAXSAL),IF(OR($F$18="X",$F$18="x"),MAXSAL*FACTOR*yr1percent,E24*FACTOR*yr1percent),0),0)</f>
        <v>0</v>
      </c>
      <c r="AG24" s="19">
        <f t="shared" ref="AG24:AG63" si="6">ROUND(IF(AND(ENDDATE&gt;CURRENTFYE,E24*FACTOR&lt;MAXSAL),E24*FACTOR*yr1percent,0),0)</f>
        <v>0</v>
      </c>
      <c r="AH24" s="19">
        <f t="shared" ref="AH24:AH62" si="7">ROUND(IF(AND(ENDDATE&gt;CURRENTFYE,E24*FACTOR&gt;=MAXSAL),IF(OR($F$18="X",$F$18="x"),MAXSAL*yr1percent,E24*FACTOR*yr1percent),0),0)</f>
        <v>0</v>
      </c>
      <c r="AI24" s="40">
        <f>365/AI23</f>
        <v>1</v>
      </c>
      <c r="AK24" s="19"/>
      <c r="AL24" s="19">
        <f t="shared" ref="AL24:AL64" si="8">ROUND(IF(AND(ENDDATE&lt;=CURRENTFYE,E24*FACTOR*yr1percent&lt;$L$19),E24*FACTOR*yr1percent,0),0)</f>
        <v>0</v>
      </c>
      <c r="AM24" s="19">
        <f t="shared" ref="AM24:AM63" si="9">ROUND(IF(AND(ENDDATE&lt;=CURRENTFYE,E24*FACTOR&gt;=$L$19),$L$19*yr1percent,0),0)</f>
        <v>0</v>
      </c>
      <c r="AN24" s="19">
        <f t="shared" ref="AN24:AN63" si="10">ROUND(IF(AND(ENDDATE&gt;CURRENTFYE,E24*FACTOR&lt;$L$19),E24*FACTOR*yr1percent,0),0)</f>
        <v>0</v>
      </c>
      <c r="AO24" s="19">
        <f t="shared" ref="AO24:AO63" si="11">ROUND(IF(AND(ENDDATE&gt;CURRENTFYE,E24*FACTOR&gt;=$L$19),$L$19*yr1percent,0),0)</f>
        <v>0</v>
      </c>
      <c r="AP24" s="40">
        <f>365/AP23</f>
        <v>1</v>
      </c>
      <c r="AQ24" s="40"/>
      <c r="AY24" s="345"/>
    </row>
    <row r="25" spans="1:51" ht="13" x14ac:dyDescent="0.3">
      <c r="A25" s="540"/>
      <c r="B25" s="613"/>
      <c r="C25" s="621"/>
      <c r="D25" s="617"/>
      <c r="E25" s="608"/>
      <c r="F25" s="747" t="str">
        <f t="shared" si="0"/>
        <v/>
      </c>
      <c r="G25" s="753" t="str">
        <f t="shared" si="1"/>
        <v/>
      </c>
      <c r="H25" s="750"/>
      <c r="I25" s="609" t="str">
        <f t="shared" si="2"/>
        <v/>
      </c>
      <c r="J25" s="188" t="str">
        <f t="shared" ref="J25:J63" si="12">IF((SUM(AL25:AO25))=0,"",(SUM(AL25:AO25)))</f>
        <v/>
      </c>
      <c r="K25" s="188" t="str">
        <f t="shared" si="3"/>
        <v/>
      </c>
      <c r="L25" s="626" t="str">
        <f t="shared" ref="L25:L63" si="13">IFERROR(IF(IF(H25=0,0,IF(OR(P25="G",P25="T",P25="S",P25="W",Q25="R"),IF(Q25=0,VLOOKUP(P25,fringes,2,FALSE),$B$360),IF(OR(P25="F",P25="A",P25="O",P25="L",P25="P"),IF(C25&lt;0.25,0.11,IF(C25&lt;0.5,0.21,(Year1Weight*VLOOKUP(P25,FringeTable,2,FALSE)+Year2Weight*VLOOKUP(P25,FringeTable,3,FALSE)+Year3Weight*VLOOKUP(P25,FringeTable,4,FALSE)))))))=0,"",IF(H25=0,0,IF(OR(P25="G",P25="T",P25="S",P25="W",Q25="R"),IF(Q25=0,VLOOKUP(P25,fringes,2,FALSE),$B$360),IF(OR(P25="F",P25="A",P25="O",P25="L",P25="P"),IF(C25&lt;0.25,0.11,IF(C25&lt;0.5,0.21,(Year1Weight*VLOOKUP(P25,FringeTable,2,FALSE)+Year2Weight*VLOOKUP(P25,FringeTable,3,FALSE)+Year3Weight*VLOOKUP(P25,FringeTable,4,FALSE)))))))),"")</f>
        <v/>
      </c>
      <c r="M25" s="188" t="str">
        <f t="shared" ref="M25:M63" si="14">IFERROR(IF(IF(H25&gt;0,(R25+(ROUND(K25*L25,0))),0)=0,"",IF(H25&gt;0,(R25+(ROUND(K25*L25,0))),0)),"")</f>
        <v/>
      </c>
      <c r="N25" s="815" t="str">
        <f t="shared" si="4"/>
        <v/>
      </c>
      <c r="O25" s="816"/>
      <c r="P25" s="541"/>
      <c r="Q25" s="544"/>
      <c r="R25" s="543"/>
      <c r="S25" s="433"/>
      <c r="T25" s="394">
        <f t="shared" ref="T25:T63" si="15">IFERROR(IF((E25*$L$17)&gt;$L$18,(((E25*$L$17)-$L$18)*H25*(1+L25)),0),"")</f>
        <v>0</v>
      </c>
      <c r="U25" s="425"/>
      <c r="V25" s="896" t="s">
        <v>374</v>
      </c>
      <c r="W25" s="897"/>
      <c r="X25" s="564" t="s">
        <v>383</v>
      </c>
      <c r="Y25" s="567" t="s">
        <v>388</v>
      </c>
      <c r="Z25" s="559"/>
      <c r="AA25" s="559"/>
      <c r="AB25" s="47"/>
      <c r="AC25" s="47"/>
      <c r="AD25" s="47"/>
      <c r="AE25" s="19">
        <f t="shared" ref="AE25:AE63" si="16">ROUND(IF(AND(ENDDATE&lt;=CURRENTFYE,E25*FACTOR*yr1percent&lt;MAXSAL),E25*FACTOR*yr1percent,0),0)</f>
        <v>0</v>
      </c>
      <c r="AF25" s="19">
        <f t="shared" si="5"/>
        <v>0</v>
      </c>
      <c r="AG25" s="19">
        <f t="shared" si="6"/>
        <v>0</v>
      </c>
      <c r="AH25" s="19">
        <f t="shared" si="7"/>
        <v>0</v>
      </c>
      <c r="AI25" s="25"/>
      <c r="AK25" s="19"/>
      <c r="AL25" s="19">
        <f t="shared" si="8"/>
        <v>0</v>
      </c>
      <c r="AM25" s="19">
        <f t="shared" si="9"/>
        <v>0</v>
      </c>
      <c r="AN25" s="19">
        <f t="shared" si="10"/>
        <v>0</v>
      </c>
      <c r="AO25" s="19">
        <f t="shared" si="11"/>
        <v>0</v>
      </c>
      <c r="AP25" s="25"/>
      <c r="AQ25" s="25"/>
      <c r="AY25" s="345"/>
    </row>
    <row r="26" spans="1:51" x14ac:dyDescent="0.25">
      <c r="A26" s="539"/>
      <c r="B26" s="614"/>
      <c r="C26" s="622"/>
      <c r="D26" s="618"/>
      <c r="E26" s="608"/>
      <c r="F26" s="747" t="str">
        <f t="shared" si="0"/>
        <v/>
      </c>
      <c r="G26" s="753" t="str">
        <f t="shared" si="1"/>
        <v/>
      </c>
      <c r="H26" s="750"/>
      <c r="I26" s="609" t="str">
        <f t="shared" si="2"/>
        <v/>
      </c>
      <c r="J26" s="188" t="str">
        <f t="shared" si="12"/>
        <v/>
      </c>
      <c r="K26" s="188" t="str">
        <f t="shared" si="3"/>
        <v/>
      </c>
      <c r="L26" s="626" t="str">
        <f t="shared" si="13"/>
        <v/>
      </c>
      <c r="M26" s="188" t="str">
        <f t="shared" si="14"/>
        <v/>
      </c>
      <c r="N26" s="815" t="str">
        <f t="shared" si="4"/>
        <v/>
      </c>
      <c r="O26" s="816"/>
      <c r="P26" s="541"/>
      <c r="Q26" s="544"/>
      <c r="R26" s="543"/>
      <c r="S26" s="433"/>
      <c r="T26" s="394">
        <f t="shared" si="15"/>
        <v>0</v>
      </c>
      <c r="U26" s="425"/>
      <c r="V26" s="892" t="s">
        <v>375</v>
      </c>
      <c r="W26" s="893"/>
      <c r="X26" s="565" t="s">
        <v>390</v>
      </c>
      <c r="Y26" s="567" t="s">
        <v>388</v>
      </c>
      <c r="Z26" s="559"/>
      <c r="AA26" s="559"/>
      <c r="AB26" s="47"/>
      <c r="AC26" s="47"/>
      <c r="AD26" s="47"/>
      <c r="AE26" s="19">
        <f t="shared" si="16"/>
        <v>0</v>
      </c>
      <c r="AF26" s="19">
        <f t="shared" si="5"/>
        <v>0</v>
      </c>
      <c r="AG26" s="19">
        <f t="shared" si="6"/>
        <v>0</v>
      </c>
      <c r="AH26" s="19">
        <f t="shared" si="7"/>
        <v>0</v>
      </c>
      <c r="AI26" s="25"/>
      <c r="AK26" s="19"/>
      <c r="AL26" s="19">
        <f t="shared" si="8"/>
        <v>0</v>
      </c>
      <c r="AM26" s="19">
        <f t="shared" si="9"/>
        <v>0</v>
      </c>
      <c r="AN26" s="19">
        <f t="shared" si="10"/>
        <v>0</v>
      </c>
      <c r="AO26" s="19">
        <f t="shared" si="11"/>
        <v>0</v>
      </c>
      <c r="AP26" s="25"/>
      <c r="AQ26" s="25"/>
    </row>
    <row r="27" spans="1:51" x14ac:dyDescent="0.25">
      <c r="A27" s="539"/>
      <c r="B27" s="614"/>
      <c r="C27" s="622"/>
      <c r="D27" s="618"/>
      <c r="E27" s="608"/>
      <c r="F27" s="747" t="str">
        <f t="shared" si="0"/>
        <v/>
      </c>
      <c r="G27" s="753" t="str">
        <f t="shared" si="1"/>
        <v/>
      </c>
      <c r="H27" s="750"/>
      <c r="I27" s="609" t="str">
        <f t="shared" si="2"/>
        <v/>
      </c>
      <c r="J27" s="188" t="str">
        <f t="shared" si="12"/>
        <v/>
      </c>
      <c r="K27" s="188" t="str">
        <f t="shared" si="3"/>
        <v/>
      </c>
      <c r="L27" s="626" t="str">
        <f t="shared" si="13"/>
        <v/>
      </c>
      <c r="M27" s="188" t="str">
        <f t="shared" si="14"/>
        <v/>
      </c>
      <c r="N27" s="815" t="str">
        <f t="shared" si="4"/>
        <v/>
      </c>
      <c r="O27" s="816"/>
      <c r="P27" s="541"/>
      <c r="Q27" s="544"/>
      <c r="R27" s="543"/>
      <c r="S27" s="433"/>
      <c r="T27" s="394">
        <f t="shared" si="15"/>
        <v>0</v>
      </c>
      <c r="U27" s="425"/>
      <c r="V27" s="892" t="s">
        <v>376</v>
      </c>
      <c r="W27" s="893"/>
      <c r="X27" s="565" t="s">
        <v>396</v>
      </c>
      <c r="Y27" s="567" t="s">
        <v>388</v>
      </c>
      <c r="Z27" s="46"/>
      <c r="AA27" s="46"/>
      <c r="AB27" s="47"/>
      <c r="AC27" s="47"/>
      <c r="AD27" s="47"/>
      <c r="AE27" s="19">
        <f t="shared" si="16"/>
        <v>0</v>
      </c>
      <c r="AF27" s="19">
        <f t="shared" si="5"/>
        <v>0</v>
      </c>
      <c r="AG27" s="19">
        <f t="shared" si="6"/>
        <v>0</v>
      </c>
      <c r="AH27" s="19">
        <f t="shared" si="7"/>
        <v>0</v>
      </c>
      <c r="AI27" s="25"/>
      <c r="AK27" s="19"/>
      <c r="AL27" s="19">
        <f t="shared" si="8"/>
        <v>0</v>
      </c>
      <c r="AM27" s="19">
        <f t="shared" si="9"/>
        <v>0</v>
      </c>
      <c r="AN27" s="19">
        <f t="shared" si="10"/>
        <v>0</v>
      </c>
      <c r="AO27" s="19">
        <f t="shared" si="11"/>
        <v>0</v>
      </c>
      <c r="AP27" s="25"/>
      <c r="AQ27" s="25"/>
    </row>
    <row r="28" spans="1:51" x14ac:dyDescent="0.25">
      <c r="A28" s="539"/>
      <c r="B28" s="614"/>
      <c r="C28" s="622"/>
      <c r="D28" s="618"/>
      <c r="E28" s="608"/>
      <c r="F28" s="747" t="str">
        <f t="shared" si="0"/>
        <v/>
      </c>
      <c r="G28" s="753" t="str">
        <f t="shared" si="1"/>
        <v/>
      </c>
      <c r="H28" s="750"/>
      <c r="I28" s="609" t="str">
        <f t="shared" si="2"/>
        <v/>
      </c>
      <c r="J28" s="188" t="str">
        <f t="shared" si="12"/>
        <v/>
      </c>
      <c r="K28" s="188" t="str">
        <f t="shared" si="3"/>
        <v/>
      </c>
      <c r="L28" s="626" t="str">
        <f t="shared" si="13"/>
        <v/>
      </c>
      <c r="M28" s="188" t="str">
        <f t="shared" si="14"/>
        <v/>
      </c>
      <c r="N28" s="815" t="str">
        <f t="shared" si="4"/>
        <v/>
      </c>
      <c r="O28" s="816"/>
      <c r="P28" s="541"/>
      <c r="Q28" s="544"/>
      <c r="R28" s="543"/>
      <c r="S28" s="433"/>
      <c r="T28" s="394">
        <f t="shared" si="15"/>
        <v>0</v>
      </c>
      <c r="U28" s="425"/>
      <c r="V28" s="892" t="s">
        <v>377</v>
      </c>
      <c r="W28" s="893"/>
      <c r="X28" s="565" t="s">
        <v>385</v>
      </c>
      <c r="Y28" s="567" t="s">
        <v>397</v>
      </c>
      <c r="Z28" s="46"/>
      <c r="AA28" s="46"/>
      <c r="AB28" s="47"/>
      <c r="AC28" s="47"/>
      <c r="AD28" s="47"/>
      <c r="AE28" s="19">
        <f t="shared" si="16"/>
        <v>0</v>
      </c>
      <c r="AF28" s="19">
        <f t="shared" si="5"/>
        <v>0</v>
      </c>
      <c r="AG28" s="19">
        <f t="shared" si="6"/>
        <v>0</v>
      </c>
      <c r="AH28" s="19">
        <f t="shared" si="7"/>
        <v>0</v>
      </c>
      <c r="AI28" s="25"/>
      <c r="AK28" s="19"/>
      <c r="AL28" s="19">
        <f t="shared" si="8"/>
        <v>0</v>
      </c>
      <c r="AM28" s="19">
        <f t="shared" si="9"/>
        <v>0</v>
      </c>
      <c r="AN28" s="19">
        <f t="shared" si="10"/>
        <v>0</v>
      </c>
      <c r="AO28" s="19">
        <f t="shared" si="11"/>
        <v>0</v>
      </c>
      <c r="AP28" s="25"/>
      <c r="AQ28" s="25"/>
    </row>
    <row r="29" spans="1:51" x14ac:dyDescent="0.25">
      <c r="A29" s="539"/>
      <c r="B29" s="614"/>
      <c r="C29" s="622"/>
      <c r="D29" s="618"/>
      <c r="E29" s="608"/>
      <c r="F29" s="747" t="str">
        <f t="shared" si="0"/>
        <v/>
      </c>
      <c r="G29" s="753" t="str">
        <f t="shared" si="1"/>
        <v/>
      </c>
      <c r="H29" s="750"/>
      <c r="I29" s="609" t="str">
        <f t="shared" si="2"/>
        <v/>
      </c>
      <c r="J29" s="188" t="str">
        <f t="shared" si="12"/>
        <v/>
      </c>
      <c r="K29" s="188" t="str">
        <f t="shared" si="3"/>
        <v/>
      </c>
      <c r="L29" s="626" t="str">
        <f t="shared" si="13"/>
        <v/>
      </c>
      <c r="M29" s="188" t="str">
        <f t="shared" si="14"/>
        <v/>
      </c>
      <c r="N29" s="815" t="str">
        <f t="shared" si="4"/>
        <v/>
      </c>
      <c r="O29" s="816"/>
      <c r="P29" s="541"/>
      <c r="Q29" s="544"/>
      <c r="R29" s="543"/>
      <c r="S29" s="433"/>
      <c r="T29" s="394">
        <f t="shared" si="15"/>
        <v>0</v>
      </c>
      <c r="U29" s="425"/>
      <c r="V29" s="892" t="s">
        <v>395</v>
      </c>
      <c r="W29" s="893"/>
      <c r="X29" s="565" t="s">
        <v>386</v>
      </c>
      <c r="Y29" s="567" t="s">
        <v>389</v>
      </c>
      <c r="Z29" s="46"/>
      <c r="AA29" s="46"/>
      <c r="AB29" s="47"/>
      <c r="AC29" s="47"/>
      <c r="AD29" s="47"/>
      <c r="AE29" s="19">
        <f t="shared" si="16"/>
        <v>0</v>
      </c>
      <c r="AF29" s="19">
        <f t="shared" si="5"/>
        <v>0</v>
      </c>
      <c r="AG29" s="19">
        <f t="shared" si="6"/>
        <v>0</v>
      </c>
      <c r="AH29" s="19">
        <f t="shared" si="7"/>
        <v>0</v>
      </c>
      <c r="AI29" s="25"/>
      <c r="AK29" s="19"/>
      <c r="AL29" s="19">
        <f t="shared" si="8"/>
        <v>0</v>
      </c>
      <c r="AM29" s="19">
        <f t="shared" si="9"/>
        <v>0</v>
      </c>
      <c r="AN29" s="19">
        <f t="shared" si="10"/>
        <v>0</v>
      </c>
      <c r="AO29" s="19">
        <f t="shared" si="11"/>
        <v>0</v>
      </c>
      <c r="AP29" s="25"/>
      <c r="AQ29" s="25"/>
    </row>
    <row r="30" spans="1:51" ht="13" thickBot="1" x14ac:dyDescent="0.3">
      <c r="A30" s="539"/>
      <c r="B30" s="614"/>
      <c r="C30" s="622"/>
      <c r="D30" s="618"/>
      <c r="E30" s="608"/>
      <c r="F30" s="747" t="str">
        <f t="shared" si="0"/>
        <v/>
      </c>
      <c r="G30" s="753" t="str">
        <f t="shared" si="1"/>
        <v/>
      </c>
      <c r="H30" s="750"/>
      <c r="I30" s="609" t="str">
        <f t="shared" si="2"/>
        <v/>
      </c>
      <c r="J30" s="188" t="str">
        <f t="shared" si="12"/>
        <v/>
      </c>
      <c r="K30" s="188" t="str">
        <f t="shared" si="3"/>
        <v/>
      </c>
      <c r="L30" s="626" t="str">
        <f t="shared" si="13"/>
        <v/>
      </c>
      <c r="M30" s="188" t="str">
        <f t="shared" si="14"/>
        <v/>
      </c>
      <c r="N30" s="815" t="str">
        <f t="shared" si="4"/>
        <v/>
      </c>
      <c r="O30" s="816"/>
      <c r="P30" s="541"/>
      <c r="Q30" s="544"/>
      <c r="R30" s="543"/>
      <c r="S30" s="433"/>
      <c r="T30" s="394">
        <f t="shared" si="15"/>
        <v>0</v>
      </c>
      <c r="U30" s="425"/>
      <c r="V30" s="894" t="s">
        <v>392</v>
      </c>
      <c r="W30" s="895"/>
      <c r="X30" s="568"/>
      <c r="Y30" s="566">
        <v>9.7500000000000003E-2</v>
      </c>
      <c r="Z30" s="46"/>
      <c r="AA30" s="46"/>
      <c r="AB30" s="47"/>
      <c r="AC30" s="47"/>
      <c r="AD30" s="47"/>
      <c r="AE30" s="19">
        <f t="shared" si="16"/>
        <v>0</v>
      </c>
      <c r="AF30" s="19">
        <f t="shared" si="5"/>
        <v>0</v>
      </c>
      <c r="AG30" s="19">
        <f t="shared" si="6"/>
        <v>0</v>
      </c>
      <c r="AH30" s="19">
        <f t="shared" si="7"/>
        <v>0</v>
      </c>
      <c r="AI30" s="25"/>
      <c r="AK30" s="19"/>
      <c r="AL30" s="19">
        <f t="shared" si="8"/>
        <v>0</v>
      </c>
      <c r="AM30" s="19">
        <f t="shared" si="9"/>
        <v>0</v>
      </c>
      <c r="AN30" s="19">
        <f t="shared" si="10"/>
        <v>0</v>
      </c>
      <c r="AO30" s="19">
        <f t="shared" si="11"/>
        <v>0</v>
      </c>
      <c r="AP30" s="25"/>
      <c r="AQ30" s="25"/>
    </row>
    <row r="31" spans="1:51" x14ac:dyDescent="0.25">
      <c r="A31" s="539"/>
      <c r="B31" s="614"/>
      <c r="C31" s="622"/>
      <c r="D31" s="618"/>
      <c r="E31" s="608"/>
      <c r="F31" s="747" t="str">
        <f t="shared" si="0"/>
        <v/>
      </c>
      <c r="G31" s="753" t="str">
        <f t="shared" si="1"/>
        <v/>
      </c>
      <c r="H31" s="750"/>
      <c r="I31" s="609" t="str">
        <f t="shared" si="2"/>
        <v/>
      </c>
      <c r="J31" s="188" t="str">
        <f t="shared" si="12"/>
        <v/>
      </c>
      <c r="K31" s="188" t="str">
        <f t="shared" si="3"/>
        <v/>
      </c>
      <c r="L31" s="626" t="str">
        <f t="shared" si="13"/>
        <v/>
      </c>
      <c r="M31" s="188" t="str">
        <f t="shared" si="14"/>
        <v/>
      </c>
      <c r="N31" s="815" t="str">
        <f t="shared" si="4"/>
        <v/>
      </c>
      <c r="O31" s="816"/>
      <c r="P31" s="541"/>
      <c r="Q31" s="544"/>
      <c r="R31" s="543"/>
      <c r="S31" s="433"/>
      <c r="T31" s="394">
        <f t="shared" si="15"/>
        <v>0</v>
      </c>
      <c r="U31" s="425"/>
      <c r="V31" s="47"/>
      <c r="W31" s="46"/>
      <c r="X31" s="46"/>
      <c r="Y31" s="46"/>
      <c r="Z31" s="46"/>
      <c r="AA31" s="46"/>
      <c r="AB31" s="47"/>
      <c r="AC31" s="47"/>
      <c r="AD31" s="47"/>
      <c r="AE31" s="19">
        <f t="shared" si="16"/>
        <v>0</v>
      </c>
      <c r="AF31" s="19">
        <f t="shared" si="5"/>
        <v>0</v>
      </c>
      <c r="AG31" s="19">
        <f t="shared" si="6"/>
        <v>0</v>
      </c>
      <c r="AH31" s="19">
        <f t="shared" si="7"/>
        <v>0</v>
      </c>
      <c r="AI31" s="25"/>
      <c r="AK31" s="19"/>
      <c r="AL31" s="19">
        <f t="shared" si="8"/>
        <v>0</v>
      </c>
      <c r="AM31" s="19">
        <f t="shared" si="9"/>
        <v>0</v>
      </c>
      <c r="AN31" s="19">
        <f t="shared" si="10"/>
        <v>0</v>
      </c>
      <c r="AO31" s="19">
        <f t="shared" si="11"/>
        <v>0</v>
      </c>
      <c r="AP31" s="25"/>
      <c r="AQ31" s="25"/>
    </row>
    <row r="32" spans="1:51" x14ac:dyDescent="0.25">
      <c r="A32" s="539"/>
      <c r="B32" s="614"/>
      <c r="C32" s="622"/>
      <c r="D32" s="618"/>
      <c r="E32" s="608"/>
      <c r="F32" s="747" t="str">
        <f t="shared" si="0"/>
        <v/>
      </c>
      <c r="G32" s="753" t="str">
        <f t="shared" si="1"/>
        <v/>
      </c>
      <c r="H32" s="750"/>
      <c r="I32" s="609" t="str">
        <f t="shared" si="2"/>
        <v/>
      </c>
      <c r="J32" s="188" t="str">
        <f t="shared" si="12"/>
        <v/>
      </c>
      <c r="K32" s="188" t="str">
        <f t="shared" si="3"/>
        <v/>
      </c>
      <c r="L32" s="626" t="str">
        <f t="shared" si="13"/>
        <v/>
      </c>
      <c r="M32" s="188" t="str">
        <f t="shared" si="14"/>
        <v/>
      </c>
      <c r="N32" s="815" t="str">
        <f t="shared" si="4"/>
        <v/>
      </c>
      <c r="O32" s="816"/>
      <c r="P32" s="541"/>
      <c r="Q32" s="544"/>
      <c r="R32" s="543"/>
      <c r="S32" s="433"/>
      <c r="T32" s="394">
        <f t="shared" si="15"/>
        <v>0</v>
      </c>
      <c r="U32" s="425"/>
      <c r="V32" s="47"/>
      <c r="W32" s="46"/>
      <c r="X32" s="46"/>
      <c r="Y32" s="46"/>
      <c r="Z32" s="46"/>
      <c r="AA32" s="46"/>
      <c r="AB32" s="47"/>
      <c r="AC32" s="47"/>
      <c r="AD32" s="47"/>
      <c r="AE32" s="19">
        <f t="shared" si="16"/>
        <v>0</v>
      </c>
      <c r="AF32" s="19">
        <f t="shared" si="5"/>
        <v>0</v>
      </c>
      <c r="AG32" s="19">
        <f t="shared" si="6"/>
        <v>0</v>
      </c>
      <c r="AH32" s="19">
        <f t="shared" si="7"/>
        <v>0</v>
      </c>
      <c r="AI32" s="25"/>
      <c r="AK32" s="19"/>
      <c r="AL32" s="19">
        <f t="shared" si="8"/>
        <v>0</v>
      </c>
      <c r="AM32" s="19">
        <f t="shared" si="9"/>
        <v>0</v>
      </c>
      <c r="AN32" s="19">
        <f t="shared" si="10"/>
        <v>0</v>
      </c>
      <c r="AO32" s="19">
        <f t="shared" si="11"/>
        <v>0</v>
      </c>
      <c r="AP32" s="25"/>
      <c r="AQ32" s="25"/>
    </row>
    <row r="33" spans="1:43" x14ac:dyDescent="0.25">
      <c r="A33" s="539"/>
      <c r="B33" s="614"/>
      <c r="C33" s="623"/>
      <c r="D33" s="619"/>
      <c r="E33" s="610"/>
      <c r="F33" s="747" t="str">
        <f t="shared" si="0"/>
        <v/>
      </c>
      <c r="G33" s="753" t="str">
        <f t="shared" si="1"/>
        <v/>
      </c>
      <c r="H33" s="751"/>
      <c r="I33" s="609" t="str">
        <f t="shared" si="2"/>
        <v/>
      </c>
      <c r="J33" s="188" t="str">
        <f t="shared" si="12"/>
        <v/>
      </c>
      <c r="K33" s="188" t="str">
        <f t="shared" si="3"/>
        <v/>
      </c>
      <c r="L33" s="626" t="str">
        <f t="shared" si="13"/>
        <v/>
      </c>
      <c r="M33" s="188" t="str">
        <f t="shared" si="14"/>
        <v/>
      </c>
      <c r="N33" s="815" t="str">
        <f t="shared" si="4"/>
        <v/>
      </c>
      <c r="O33" s="816"/>
      <c r="P33" s="460"/>
      <c r="Q33" s="420"/>
      <c r="R33" s="350"/>
      <c r="S33" s="433"/>
      <c r="T33" s="394">
        <f t="shared" si="15"/>
        <v>0</v>
      </c>
      <c r="U33" s="425"/>
      <c r="V33" s="47"/>
      <c r="W33" s="46"/>
      <c r="X33" s="46"/>
      <c r="Y33" s="46"/>
      <c r="Z33" s="46"/>
      <c r="AA33" s="46"/>
      <c r="AB33" s="47"/>
      <c r="AC33" s="47"/>
      <c r="AD33" s="47"/>
      <c r="AE33" s="19">
        <f t="shared" si="16"/>
        <v>0</v>
      </c>
      <c r="AF33" s="19">
        <f t="shared" si="5"/>
        <v>0</v>
      </c>
      <c r="AG33" s="19">
        <f t="shared" si="6"/>
        <v>0</v>
      </c>
      <c r="AH33" s="19">
        <f t="shared" si="7"/>
        <v>0</v>
      </c>
      <c r="AI33" s="25"/>
      <c r="AK33" s="19"/>
      <c r="AL33" s="19">
        <f t="shared" si="8"/>
        <v>0</v>
      </c>
      <c r="AM33" s="19">
        <f t="shared" si="9"/>
        <v>0</v>
      </c>
      <c r="AN33" s="19">
        <f t="shared" si="10"/>
        <v>0</v>
      </c>
      <c r="AO33" s="19">
        <f t="shared" si="11"/>
        <v>0</v>
      </c>
      <c r="AP33" s="25"/>
      <c r="AQ33" s="25"/>
    </row>
    <row r="34" spans="1:43" x14ac:dyDescent="0.25">
      <c r="A34" s="205"/>
      <c r="B34" s="615"/>
      <c r="C34" s="623"/>
      <c r="D34" s="619"/>
      <c r="E34" s="610"/>
      <c r="F34" s="747" t="str">
        <f t="shared" si="0"/>
        <v/>
      </c>
      <c r="G34" s="753" t="str">
        <f t="shared" si="1"/>
        <v/>
      </c>
      <c r="H34" s="751"/>
      <c r="I34" s="609" t="str">
        <f t="shared" si="2"/>
        <v/>
      </c>
      <c r="J34" s="188" t="str">
        <f t="shared" si="12"/>
        <v/>
      </c>
      <c r="K34" s="188" t="str">
        <f t="shared" si="3"/>
        <v/>
      </c>
      <c r="L34" s="626" t="str">
        <f t="shared" si="13"/>
        <v/>
      </c>
      <c r="M34" s="188" t="str">
        <f t="shared" si="14"/>
        <v/>
      </c>
      <c r="N34" s="815" t="str">
        <f t="shared" si="4"/>
        <v/>
      </c>
      <c r="O34" s="816"/>
      <c r="P34" s="460"/>
      <c r="Q34" s="420"/>
      <c r="R34" s="350"/>
      <c r="S34" s="433"/>
      <c r="T34" s="394">
        <f t="shared" si="15"/>
        <v>0</v>
      </c>
      <c r="U34" s="425"/>
      <c r="V34" s="47"/>
      <c r="W34" s="46"/>
      <c r="X34" s="46"/>
      <c r="Y34" s="46"/>
      <c r="Z34" s="46"/>
      <c r="AA34" s="46"/>
      <c r="AB34" s="47"/>
      <c r="AC34" s="47"/>
      <c r="AD34" s="47"/>
      <c r="AE34" s="19">
        <f t="shared" si="16"/>
        <v>0</v>
      </c>
      <c r="AF34" s="19">
        <f t="shared" si="5"/>
        <v>0</v>
      </c>
      <c r="AG34" s="19">
        <f t="shared" si="6"/>
        <v>0</v>
      </c>
      <c r="AH34" s="19">
        <f t="shared" si="7"/>
        <v>0</v>
      </c>
      <c r="AK34" s="19"/>
      <c r="AL34" s="19">
        <f t="shared" si="8"/>
        <v>0</v>
      </c>
      <c r="AM34" s="19">
        <f t="shared" si="9"/>
        <v>0</v>
      </c>
      <c r="AN34" s="19">
        <f t="shared" si="10"/>
        <v>0</v>
      </c>
      <c r="AO34" s="19">
        <f t="shared" si="11"/>
        <v>0</v>
      </c>
    </row>
    <row r="35" spans="1:43" x14ac:dyDescent="0.25">
      <c r="A35" s="205"/>
      <c r="B35" s="615"/>
      <c r="C35" s="623"/>
      <c r="D35" s="619"/>
      <c r="E35" s="610"/>
      <c r="F35" s="747" t="str">
        <f t="shared" si="0"/>
        <v/>
      </c>
      <c r="G35" s="753" t="str">
        <f t="shared" si="1"/>
        <v/>
      </c>
      <c r="H35" s="751"/>
      <c r="I35" s="609" t="str">
        <f t="shared" si="2"/>
        <v/>
      </c>
      <c r="J35" s="188" t="str">
        <f t="shared" si="12"/>
        <v/>
      </c>
      <c r="K35" s="188" t="str">
        <f t="shared" si="3"/>
        <v/>
      </c>
      <c r="L35" s="626" t="str">
        <f t="shared" si="13"/>
        <v/>
      </c>
      <c r="M35" s="188" t="str">
        <f t="shared" si="14"/>
        <v/>
      </c>
      <c r="N35" s="815" t="str">
        <f t="shared" si="4"/>
        <v/>
      </c>
      <c r="O35" s="816"/>
      <c r="P35" s="460"/>
      <c r="Q35" s="420"/>
      <c r="R35" s="350"/>
      <c r="S35" s="433"/>
      <c r="T35" s="394">
        <f t="shared" si="15"/>
        <v>0</v>
      </c>
      <c r="U35" s="425"/>
      <c r="V35" s="47"/>
      <c r="W35" s="46"/>
      <c r="X35" s="46"/>
      <c r="Y35" s="46"/>
      <c r="Z35" s="46"/>
      <c r="AA35" s="46"/>
      <c r="AB35" s="47"/>
      <c r="AC35" s="47"/>
      <c r="AD35" s="47"/>
      <c r="AE35" s="19">
        <f t="shared" si="16"/>
        <v>0</v>
      </c>
      <c r="AF35" s="19">
        <f t="shared" si="5"/>
        <v>0</v>
      </c>
      <c r="AG35" s="19">
        <f t="shared" si="6"/>
        <v>0</v>
      </c>
      <c r="AH35" s="19">
        <f t="shared" si="7"/>
        <v>0</v>
      </c>
      <c r="AK35" s="19"/>
      <c r="AL35" s="19">
        <f t="shared" si="8"/>
        <v>0</v>
      </c>
      <c r="AM35" s="19">
        <f t="shared" si="9"/>
        <v>0</v>
      </c>
      <c r="AN35" s="19">
        <f t="shared" si="10"/>
        <v>0</v>
      </c>
      <c r="AO35" s="19">
        <f t="shared" si="11"/>
        <v>0</v>
      </c>
    </row>
    <row r="36" spans="1:43" ht="13" x14ac:dyDescent="0.3">
      <c r="A36" s="205"/>
      <c r="B36" s="615"/>
      <c r="C36" s="623"/>
      <c r="D36" s="619"/>
      <c r="E36" s="610"/>
      <c r="F36" s="747" t="str">
        <f t="shared" si="0"/>
        <v/>
      </c>
      <c r="G36" s="753" t="str">
        <f t="shared" si="1"/>
        <v/>
      </c>
      <c r="H36" s="751"/>
      <c r="I36" s="609" t="str">
        <f t="shared" si="2"/>
        <v/>
      </c>
      <c r="J36" s="188" t="str">
        <f t="shared" si="12"/>
        <v/>
      </c>
      <c r="K36" s="188" t="str">
        <f t="shared" si="3"/>
        <v/>
      </c>
      <c r="L36" s="626" t="str">
        <f t="shared" si="13"/>
        <v/>
      </c>
      <c r="M36" s="188" t="str">
        <f t="shared" si="14"/>
        <v/>
      </c>
      <c r="N36" s="815" t="str">
        <f t="shared" si="4"/>
        <v/>
      </c>
      <c r="O36" s="816"/>
      <c r="P36" s="460"/>
      <c r="Q36" s="420"/>
      <c r="R36" s="350"/>
      <c r="S36" s="433"/>
      <c r="T36" s="394">
        <f t="shared" si="15"/>
        <v>0</v>
      </c>
      <c r="U36" s="425"/>
      <c r="V36" s="353"/>
      <c r="W36" s="159"/>
      <c r="X36" s="422"/>
      <c r="Y36" s="393"/>
      <c r="Z36" s="393"/>
      <c r="AA36" s="393"/>
      <c r="AB36" s="353"/>
      <c r="AC36" s="47"/>
      <c r="AD36" s="47"/>
      <c r="AE36" s="19">
        <f t="shared" si="16"/>
        <v>0</v>
      </c>
      <c r="AF36" s="19">
        <f t="shared" si="5"/>
        <v>0</v>
      </c>
      <c r="AG36" s="19">
        <f t="shared" si="6"/>
        <v>0</v>
      </c>
      <c r="AH36" s="19">
        <f t="shared" si="7"/>
        <v>0</v>
      </c>
      <c r="AK36" s="19"/>
      <c r="AL36" s="19">
        <f t="shared" si="8"/>
        <v>0</v>
      </c>
      <c r="AM36" s="19">
        <f t="shared" si="9"/>
        <v>0</v>
      </c>
      <c r="AN36" s="19">
        <f t="shared" si="10"/>
        <v>0</v>
      </c>
      <c r="AO36" s="19">
        <f t="shared" si="11"/>
        <v>0</v>
      </c>
    </row>
    <row r="37" spans="1:43" ht="13" x14ac:dyDescent="0.3">
      <c r="A37" s="205"/>
      <c r="B37" s="615"/>
      <c r="C37" s="623"/>
      <c r="D37" s="619"/>
      <c r="E37" s="610"/>
      <c r="F37" s="747" t="str">
        <f t="shared" si="0"/>
        <v/>
      </c>
      <c r="G37" s="753" t="str">
        <f t="shared" si="1"/>
        <v/>
      </c>
      <c r="H37" s="751"/>
      <c r="I37" s="609" t="str">
        <f t="shared" si="2"/>
        <v/>
      </c>
      <c r="J37" s="188" t="str">
        <f t="shared" si="12"/>
        <v/>
      </c>
      <c r="K37" s="188" t="str">
        <f t="shared" si="3"/>
        <v/>
      </c>
      <c r="L37" s="626" t="str">
        <f t="shared" si="13"/>
        <v/>
      </c>
      <c r="M37" s="188" t="str">
        <f t="shared" si="14"/>
        <v/>
      </c>
      <c r="N37" s="815" t="str">
        <f t="shared" si="4"/>
        <v/>
      </c>
      <c r="O37" s="816"/>
      <c r="P37" s="460"/>
      <c r="Q37" s="420"/>
      <c r="R37" s="350"/>
      <c r="S37" s="433"/>
      <c r="T37" s="394">
        <f t="shared" si="15"/>
        <v>0</v>
      </c>
      <c r="U37" s="425"/>
      <c r="V37" s="353"/>
      <c r="W37" s="580"/>
      <c r="X37" s="580"/>
      <c r="Y37" s="580"/>
      <c r="Z37" s="580"/>
      <c r="AA37" s="580"/>
      <c r="AB37" s="353"/>
      <c r="AC37" s="47"/>
      <c r="AD37" s="47"/>
      <c r="AE37" s="19">
        <f t="shared" si="16"/>
        <v>0</v>
      </c>
      <c r="AF37" s="19">
        <f t="shared" si="5"/>
        <v>0</v>
      </c>
      <c r="AG37" s="19">
        <f t="shared" si="6"/>
        <v>0</v>
      </c>
      <c r="AH37" s="19">
        <f t="shared" si="7"/>
        <v>0</v>
      </c>
      <c r="AK37" s="19"/>
      <c r="AL37" s="19">
        <f t="shared" si="8"/>
        <v>0</v>
      </c>
      <c r="AM37" s="19">
        <f t="shared" si="9"/>
        <v>0</v>
      </c>
      <c r="AN37" s="19">
        <f t="shared" si="10"/>
        <v>0</v>
      </c>
      <c r="AO37" s="19">
        <f t="shared" si="11"/>
        <v>0</v>
      </c>
    </row>
    <row r="38" spans="1:43" x14ac:dyDescent="0.25">
      <c r="A38" s="205"/>
      <c r="B38" s="615"/>
      <c r="C38" s="623"/>
      <c r="D38" s="619"/>
      <c r="E38" s="610"/>
      <c r="F38" s="747" t="str">
        <f t="shared" si="0"/>
        <v/>
      </c>
      <c r="G38" s="753" t="str">
        <f t="shared" si="1"/>
        <v/>
      </c>
      <c r="H38" s="751"/>
      <c r="I38" s="609" t="str">
        <f t="shared" si="2"/>
        <v/>
      </c>
      <c r="J38" s="188" t="str">
        <f t="shared" si="12"/>
        <v/>
      </c>
      <c r="K38" s="188" t="str">
        <f t="shared" si="3"/>
        <v/>
      </c>
      <c r="L38" s="626" t="str">
        <f t="shared" si="13"/>
        <v/>
      </c>
      <c r="M38" s="188" t="str">
        <f t="shared" si="14"/>
        <v/>
      </c>
      <c r="N38" s="815" t="str">
        <f t="shared" si="4"/>
        <v/>
      </c>
      <c r="O38" s="816"/>
      <c r="P38" s="460"/>
      <c r="Q38" s="420"/>
      <c r="R38" s="350"/>
      <c r="S38" s="433"/>
      <c r="T38" s="394">
        <f t="shared" si="15"/>
        <v>0</v>
      </c>
      <c r="U38" s="425"/>
      <c r="V38" s="353"/>
      <c r="W38" s="581"/>
      <c r="X38" s="581"/>
      <c r="Y38" s="581"/>
      <c r="Z38" s="581"/>
      <c r="AA38" s="581"/>
      <c r="AB38" s="573"/>
      <c r="AC38" s="47"/>
      <c r="AD38" s="47"/>
      <c r="AE38" s="19">
        <f t="shared" si="16"/>
        <v>0</v>
      </c>
      <c r="AF38" s="19">
        <f t="shared" si="5"/>
        <v>0</v>
      </c>
      <c r="AG38" s="19">
        <f t="shared" si="6"/>
        <v>0</v>
      </c>
      <c r="AH38" s="19">
        <f t="shared" si="7"/>
        <v>0</v>
      </c>
      <c r="AK38" s="19"/>
      <c r="AL38" s="19">
        <f t="shared" si="8"/>
        <v>0</v>
      </c>
      <c r="AM38" s="19">
        <f t="shared" si="9"/>
        <v>0</v>
      </c>
      <c r="AN38" s="19">
        <f t="shared" si="10"/>
        <v>0</v>
      </c>
      <c r="AO38" s="19">
        <f t="shared" si="11"/>
        <v>0</v>
      </c>
    </row>
    <row r="39" spans="1:43" x14ac:dyDescent="0.25">
      <c r="A39" s="205"/>
      <c r="B39" s="615"/>
      <c r="C39" s="623"/>
      <c r="D39" s="619"/>
      <c r="E39" s="610"/>
      <c r="F39" s="747" t="str">
        <f t="shared" si="0"/>
        <v/>
      </c>
      <c r="G39" s="753" t="str">
        <f t="shared" si="1"/>
        <v/>
      </c>
      <c r="H39" s="751"/>
      <c r="I39" s="609" t="str">
        <f t="shared" si="2"/>
        <v/>
      </c>
      <c r="J39" s="188" t="str">
        <f t="shared" si="12"/>
        <v/>
      </c>
      <c r="K39" s="188" t="str">
        <f t="shared" si="3"/>
        <v/>
      </c>
      <c r="L39" s="626" t="str">
        <f t="shared" si="13"/>
        <v/>
      </c>
      <c r="M39" s="188" t="str">
        <f t="shared" si="14"/>
        <v/>
      </c>
      <c r="N39" s="815" t="str">
        <f t="shared" si="4"/>
        <v/>
      </c>
      <c r="O39" s="816"/>
      <c r="P39" s="460"/>
      <c r="Q39" s="420"/>
      <c r="R39" s="350"/>
      <c r="S39" s="433"/>
      <c r="T39" s="394">
        <f t="shared" si="15"/>
        <v>0</v>
      </c>
      <c r="U39" s="425"/>
      <c r="V39" s="577"/>
      <c r="W39" s="579"/>
      <c r="X39" s="579"/>
      <c r="Y39" s="579"/>
      <c r="Z39" s="579"/>
      <c r="AA39" s="579"/>
      <c r="AB39" s="570"/>
      <c r="AC39" s="47"/>
      <c r="AD39" s="47"/>
      <c r="AE39" s="19">
        <f t="shared" si="16"/>
        <v>0</v>
      </c>
      <c r="AF39" s="19">
        <f t="shared" si="5"/>
        <v>0</v>
      </c>
      <c r="AG39" s="19">
        <f t="shared" si="6"/>
        <v>0</v>
      </c>
      <c r="AH39" s="19">
        <f t="shared" si="7"/>
        <v>0</v>
      </c>
      <c r="AK39" s="19"/>
      <c r="AL39" s="19">
        <f t="shared" si="8"/>
        <v>0</v>
      </c>
      <c r="AM39" s="19">
        <f t="shared" si="9"/>
        <v>0</v>
      </c>
      <c r="AN39" s="19">
        <f t="shared" si="10"/>
        <v>0</v>
      </c>
      <c r="AO39" s="19">
        <f t="shared" si="11"/>
        <v>0</v>
      </c>
    </row>
    <row r="40" spans="1:43" x14ac:dyDescent="0.25">
      <c r="A40" s="205"/>
      <c r="B40" s="615"/>
      <c r="C40" s="623"/>
      <c r="D40" s="619"/>
      <c r="E40" s="610"/>
      <c r="F40" s="747" t="str">
        <f t="shared" si="0"/>
        <v/>
      </c>
      <c r="G40" s="753" t="str">
        <f t="shared" si="1"/>
        <v/>
      </c>
      <c r="H40" s="751"/>
      <c r="I40" s="609" t="str">
        <f t="shared" si="2"/>
        <v/>
      </c>
      <c r="J40" s="188" t="str">
        <f t="shared" si="12"/>
        <v/>
      </c>
      <c r="K40" s="188" t="str">
        <f t="shared" si="3"/>
        <v/>
      </c>
      <c r="L40" s="626" t="str">
        <f t="shared" si="13"/>
        <v/>
      </c>
      <c r="M40" s="188" t="str">
        <f t="shared" si="14"/>
        <v/>
      </c>
      <c r="N40" s="815" t="str">
        <f t="shared" si="4"/>
        <v/>
      </c>
      <c r="O40" s="816"/>
      <c r="P40" s="460"/>
      <c r="Q40" s="420"/>
      <c r="R40" s="350"/>
      <c r="S40" s="433"/>
      <c r="T40" s="394">
        <f t="shared" si="15"/>
        <v>0</v>
      </c>
      <c r="U40" s="425"/>
      <c r="V40" s="577"/>
      <c r="W40" s="579"/>
      <c r="X40" s="579"/>
      <c r="Y40" s="579"/>
      <c r="Z40" s="579"/>
      <c r="AA40" s="579"/>
      <c r="AB40" s="570"/>
      <c r="AC40" s="47"/>
      <c r="AD40" s="47"/>
      <c r="AE40" s="19">
        <f t="shared" si="16"/>
        <v>0</v>
      </c>
      <c r="AF40" s="19">
        <f t="shared" si="5"/>
        <v>0</v>
      </c>
      <c r="AG40" s="19">
        <f t="shared" si="6"/>
        <v>0</v>
      </c>
      <c r="AH40" s="19">
        <f t="shared" si="7"/>
        <v>0</v>
      </c>
      <c r="AK40" s="19"/>
      <c r="AL40" s="19">
        <f t="shared" si="8"/>
        <v>0</v>
      </c>
      <c r="AM40" s="19">
        <f t="shared" si="9"/>
        <v>0</v>
      </c>
      <c r="AN40" s="19">
        <f t="shared" si="10"/>
        <v>0</v>
      </c>
      <c r="AO40" s="19">
        <f t="shared" si="11"/>
        <v>0</v>
      </c>
    </row>
    <row r="41" spans="1:43" x14ac:dyDescent="0.25">
      <c r="A41" s="205"/>
      <c r="B41" s="615"/>
      <c r="C41" s="623"/>
      <c r="D41" s="619"/>
      <c r="E41" s="610"/>
      <c r="F41" s="747" t="str">
        <f t="shared" si="0"/>
        <v/>
      </c>
      <c r="G41" s="753" t="str">
        <f t="shared" si="1"/>
        <v/>
      </c>
      <c r="H41" s="751"/>
      <c r="I41" s="609" t="str">
        <f t="shared" si="2"/>
        <v/>
      </c>
      <c r="J41" s="188" t="str">
        <f t="shared" si="12"/>
        <v/>
      </c>
      <c r="K41" s="188" t="str">
        <f t="shared" si="3"/>
        <v/>
      </c>
      <c r="L41" s="626" t="str">
        <f t="shared" si="13"/>
        <v/>
      </c>
      <c r="M41" s="188" t="str">
        <f t="shared" si="14"/>
        <v/>
      </c>
      <c r="N41" s="815" t="str">
        <f t="shared" si="4"/>
        <v/>
      </c>
      <c r="O41" s="816"/>
      <c r="P41" s="460"/>
      <c r="Q41" s="420"/>
      <c r="R41" s="350"/>
      <c r="S41" s="433"/>
      <c r="T41" s="394">
        <f t="shared" si="15"/>
        <v>0</v>
      </c>
      <c r="U41" s="425"/>
      <c r="V41" s="577"/>
      <c r="W41" s="579"/>
      <c r="X41" s="579"/>
      <c r="Y41" s="579"/>
      <c r="Z41" s="579"/>
      <c r="AA41" s="579"/>
      <c r="AB41" s="570"/>
      <c r="AC41" s="47"/>
      <c r="AD41" s="47"/>
      <c r="AE41" s="19">
        <f t="shared" si="16"/>
        <v>0</v>
      </c>
      <c r="AF41" s="19">
        <f t="shared" si="5"/>
        <v>0</v>
      </c>
      <c r="AG41" s="19">
        <f t="shared" si="6"/>
        <v>0</v>
      </c>
      <c r="AH41" s="19">
        <f t="shared" si="7"/>
        <v>0</v>
      </c>
      <c r="AK41" s="19"/>
      <c r="AL41" s="19">
        <f t="shared" si="8"/>
        <v>0</v>
      </c>
      <c r="AM41" s="19">
        <f t="shared" si="9"/>
        <v>0</v>
      </c>
      <c r="AN41" s="19">
        <f t="shared" si="10"/>
        <v>0</v>
      </c>
      <c r="AO41" s="19">
        <f t="shared" si="11"/>
        <v>0</v>
      </c>
    </row>
    <row r="42" spans="1:43" x14ac:dyDescent="0.25">
      <c r="A42" s="205"/>
      <c r="B42" s="615"/>
      <c r="C42" s="623"/>
      <c r="D42" s="619"/>
      <c r="E42" s="610"/>
      <c r="F42" s="747" t="str">
        <f t="shared" si="0"/>
        <v/>
      </c>
      <c r="G42" s="753" t="str">
        <f t="shared" si="1"/>
        <v/>
      </c>
      <c r="H42" s="751"/>
      <c r="I42" s="609" t="str">
        <f t="shared" si="2"/>
        <v/>
      </c>
      <c r="J42" s="188" t="str">
        <f t="shared" si="12"/>
        <v/>
      </c>
      <c r="K42" s="188" t="str">
        <f t="shared" si="3"/>
        <v/>
      </c>
      <c r="L42" s="626" t="str">
        <f t="shared" si="13"/>
        <v/>
      </c>
      <c r="M42" s="188" t="str">
        <f t="shared" si="14"/>
        <v/>
      </c>
      <c r="N42" s="815" t="str">
        <f t="shared" si="4"/>
        <v/>
      </c>
      <c r="O42" s="816"/>
      <c r="P42" s="460"/>
      <c r="Q42" s="420"/>
      <c r="R42" s="350"/>
      <c r="S42" s="433"/>
      <c r="T42" s="394">
        <f t="shared" si="15"/>
        <v>0</v>
      </c>
      <c r="U42" s="425"/>
      <c r="V42" s="577"/>
      <c r="W42" s="579"/>
      <c r="X42" s="579"/>
      <c r="Y42" s="579"/>
      <c r="Z42" s="579"/>
      <c r="AA42" s="579"/>
      <c r="AB42" s="570"/>
      <c r="AC42" s="47"/>
      <c r="AD42" s="47"/>
      <c r="AE42" s="19">
        <f t="shared" si="16"/>
        <v>0</v>
      </c>
      <c r="AF42" s="19">
        <f t="shared" si="5"/>
        <v>0</v>
      </c>
      <c r="AG42" s="19">
        <f t="shared" si="6"/>
        <v>0</v>
      </c>
      <c r="AH42" s="19">
        <f t="shared" si="7"/>
        <v>0</v>
      </c>
      <c r="AK42" s="19"/>
      <c r="AL42" s="19">
        <f t="shared" si="8"/>
        <v>0</v>
      </c>
      <c r="AM42" s="19">
        <f t="shared" si="9"/>
        <v>0</v>
      </c>
      <c r="AN42" s="19">
        <f t="shared" si="10"/>
        <v>0</v>
      </c>
      <c r="AO42" s="19">
        <f t="shared" si="11"/>
        <v>0</v>
      </c>
    </row>
    <row r="43" spans="1:43" x14ac:dyDescent="0.25">
      <c r="A43" s="205"/>
      <c r="B43" s="615"/>
      <c r="C43" s="623"/>
      <c r="D43" s="619"/>
      <c r="E43" s="610"/>
      <c r="F43" s="747" t="str">
        <f t="shared" si="0"/>
        <v/>
      </c>
      <c r="G43" s="753" t="str">
        <f t="shared" si="1"/>
        <v/>
      </c>
      <c r="H43" s="751"/>
      <c r="I43" s="609" t="str">
        <f t="shared" si="2"/>
        <v/>
      </c>
      <c r="J43" s="188" t="str">
        <f t="shared" si="12"/>
        <v/>
      </c>
      <c r="K43" s="188" t="str">
        <f t="shared" si="3"/>
        <v/>
      </c>
      <c r="L43" s="626" t="str">
        <f t="shared" si="13"/>
        <v/>
      </c>
      <c r="M43" s="188" t="str">
        <f t="shared" si="14"/>
        <v/>
      </c>
      <c r="N43" s="815" t="str">
        <f t="shared" si="4"/>
        <v/>
      </c>
      <c r="O43" s="816"/>
      <c r="P43" s="460"/>
      <c r="Q43" s="420"/>
      <c r="R43" s="350"/>
      <c r="S43" s="433"/>
      <c r="T43" s="394">
        <f t="shared" si="15"/>
        <v>0</v>
      </c>
      <c r="U43" s="425"/>
      <c r="V43" s="577"/>
      <c r="W43" s="579"/>
      <c r="X43" s="579"/>
      <c r="Y43" s="579"/>
      <c r="Z43" s="579"/>
      <c r="AA43" s="579"/>
      <c r="AB43" s="570"/>
      <c r="AC43" s="47"/>
      <c r="AD43" s="47"/>
      <c r="AE43" s="19">
        <f t="shared" si="16"/>
        <v>0</v>
      </c>
      <c r="AF43" s="19">
        <f t="shared" si="5"/>
        <v>0</v>
      </c>
      <c r="AG43" s="19">
        <f t="shared" si="6"/>
        <v>0</v>
      </c>
      <c r="AH43" s="19">
        <f t="shared" si="7"/>
        <v>0</v>
      </c>
      <c r="AK43" s="19"/>
      <c r="AL43" s="19">
        <f t="shared" si="8"/>
        <v>0</v>
      </c>
      <c r="AM43" s="19">
        <f t="shared" si="9"/>
        <v>0</v>
      </c>
      <c r="AN43" s="19">
        <f t="shared" si="10"/>
        <v>0</v>
      </c>
      <c r="AO43" s="19">
        <f t="shared" si="11"/>
        <v>0</v>
      </c>
    </row>
    <row r="44" spans="1:43" x14ac:dyDescent="0.25">
      <c r="A44" s="205"/>
      <c r="B44" s="615"/>
      <c r="C44" s="623"/>
      <c r="D44" s="619"/>
      <c r="E44" s="610"/>
      <c r="F44" s="747" t="str">
        <f t="shared" si="0"/>
        <v/>
      </c>
      <c r="G44" s="753" t="str">
        <f t="shared" si="1"/>
        <v/>
      </c>
      <c r="H44" s="751"/>
      <c r="I44" s="609" t="str">
        <f t="shared" si="2"/>
        <v/>
      </c>
      <c r="J44" s="188" t="str">
        <f t="shared" si="12"/>
        <v/>
      </c>
      <c r="K44" s="188" t="str">
        <f t="shared" si="3"/>
        <v/>
      </c>
      <c r="L44" s="626" t="str">
        <f t="shared" si="13"/>
        <v/>
      </c>
      <c r="M44" s="188" t="str">
        <f t="shared" si="14"/>
        <v/>
      </c>
      <c r="N44" s="815" t="str">
        <f t="shared" si="4"/>
        <v/>
      </c>
      <c r="O44" s="816"/>
      <c r="P44" s="460"/>
      <c r="Q44" s="420"/>
      <c r="R44" s="350"/>
      <c r="S44" s="433"/>
      <c r="T44" s="394">
        <f t="shared" si="15"/>
        <v>0</v>
      </c>
      <c r="U44" s="425"/>
      <c r="V44" s="577"/>
      <c r="W44" s="578"/>
      <c r="X44" s="393"/>
      <c r="Y44" s="393"/>
      <c r="Z44" s="393"/>
      <c r="AA44" s="393"/>
      <c r="AB44" s="353"/>
      <c r="AC44" s="47"/>
      <c r="AD44" s="47"/>
      <c r="AE44" s="19">
        <f t="shared" si="16"/>
        <v>0</v>
      </c>
      <c r="AF44" s="19">
        <f t="shared" si="5"/>
        <v>0</v>
      </c>
      <c r="AG44" s="19">
        <f t="shared" si="6"/>
        <v>0</v>
      </c>
      <c r="AH44" s="19">
        <f t="shared" si="7"/>
        <v>0</v>
      </c>
      <c r="AK44" s="19"/>
      <c r="AL44" s="19">
        <f t="shared" si="8"/>
        <v>0</v>
      </c>
      <c r="AM44" s="19">
        <f t="shared" si="9"/>
        <v>0</v>
      </c>
      <c r="AN44" s="19">
        <f t="shared" si="10"/>
        <v>0</v>
      </c>
      <c r="AO44" s="19">
        <f t="shared" si="11"/>
        <v>0</v>
      </c>
    </row>
    <row r="45" spans="1:43" x14ac:dyDescent="0.25">
      <c r="A45" s="205"/>
      <c r="B45" s="615"/>
      <c r="C45" s="623"/>
      <c r="D45" s="619"/>
      <c r="E45" s="610"/>
      <c r="F45" s="747" t="str">
        <f t="shared" si="0"/>
        <v/>
      </c>
      <c r="G45" s="753" t="str">
        <f t="shared" si="1"/>
        <v/>
      </c>
      <c r="H45" s="751"/>
      <c r="I45" s="609" t="str">
        <f t="shared" si="2"/>
        <v/>
      </c>
      <c r="J45" s="188" t="str">
        <f t="shared" si="12"/>
        <v/>
      </c>
      <c r="K45" s="188" t="str">
        <f t="shared" si="3"/>
        <v/>
      </c>
      <c r="L45" s="626" t="str">
        <f t="shared" si="13"/>
        <v/>
      </c>
      <c r="M45" s="188" t="str">
        <f t="shared" si="14"/>
        <v/>
      </c>
      <c r="N45" s="815" t="str">
        <f t="shared" si="4"/>
        <v/>
      </c>
      <c r="O45" s="816"/>
      <c r="P45" s="460"/>
      <c r="Q45" s="420"/>
      <c r="R45" s="350"/>
      <c r="S45" s="433"/>
      <c r="T45" s="394">
        <f t="shared" si="15"/>
        <v>0</v>
      </c>
      <c r="U45" s="425"/>
      <c r="V45" s="577"/>
      <c r="W45" s="578"/>
      <c r="X45" s="393"/>
      <c r="Y45" s="393"/>
      <c r="Z45" s="393"/>
      <c r="AA45" s="393"/>
      <c r="AB45" s="353"/>
      <c r="AC45" s="47"/>
      <c r="AD45" s="47"/>
      <c r="AE45" s="19">
        <f t="shared" si="16"/>
        <v>0</v>
      </c>
      <c r="AF45" s="19">
        <f t="shared" si="5"/>
        <v>0</v>
      </c>
      <c r="AG45" s="19">
        <f t="shared" si="6"/>
        <v>0</v>
      </c>
      <c r="AH45" s="19">
        <f t="shared" si="7"/>
        <v>0</v>
      </c>
      <c r="AK45" s="19"/>
      <c r="AL45" s="19">
        <f t="shared" si="8"/>
        <v>0</v>
      </c>
      <c r="AM45" s="19">
        <f t="shared" si="9"/>
        <v>0</v>
      </c>
      <c r="AN45" s="19">
        <f t="shared" si="10"/>
        <v>0</v>
      </c>
      <c r="AO45" s="19">
        <f t="shared" si="11"/>
        <v>0</v>
      </c>
    </row>
    <row r="46" spans="1:43" x14ac:dyDescent="0.25">
      <c r="A46" s="205"/>
      <c r="B46" s="615"/>
      <c r="C46" s="623"/>
      <c r="D46" s="619"/>
      <c r="E46" s="610"/>
      <c r="F46" s="747" t="str">
        <f t="shared" si="0"/>
        <v/>
      </c>
      <c r="G46" s="753" t="str">
        <f t="shared" si="1"/>
        <v/>
      </c>
      <c r="H46" s="751"/>
      <c r="I46" s="609" t="str">
        <f t="shared" si="2"/>
        <v/>
      </c>
      <c r="J46" s="188" t="str">
        <f t="shared" si="12"/>
        <v/>
      </c>
      <c r="K46" s="188" t="str">
        <f t="shared" si="3"/>
        <v/>
      </c>
      <c r="L46" s="626" t="str">
        <f t="shared" si="13"/>
        <v/>
      </c>
      <c r="M46" s="188" t="str">
        <f t="shared" si="14"/>
        <v/>
      </c>
      <c r="N46" s="815" t="str">
        <f t="shared" si="4"/>
        <v/>
      </c>
      <c r="O46" s="816"/>
      <c r="P46" s="460"/>
      <c r="Q46" s="420"/>
      <c r="R46" s="350"/>
      <c r="S46" s="433"/>
      <c r="T46" s="394">
        <f t="shared" si="15"/>
        <v>0</v>
      </c>
      <c r="U46" s="425"/>
      <c r="V46" s="47"/>
      <c r="W46" s="46"/>
      <c r="X46" s="46"/>
      <c r="Y46" s="46"/>
      <c r="Z46" s="46"/>
      <c r="AA46" s="46"/>
      <c r="AB46" s="47"/>
      <c r="AC46" s="47"/>
      <c r="AD46" s="47"/>
      <c r="AE46" s="19">
        <f t="shared" si="16"/>
        <v>0</v>
      </c>
      <c r="AF46" s="19">
        <f t="shared" si="5"/>
        <v>0</v>
      </c>
      <c r="AG46" s="19">
        <f t="shared" si="6"/>
        <v>0</v>
      </c>
      <c r="AH46" s="19">
        <f t="shared" si="7"/>
        <v>0</v>
      </c>
      <c r="AK46" s="19"/>
      <c r="AL46" s="19">
        <f t="shared" si="8"/>
        <v>0</v>
      </c>
      <c r="AM46" s="19">
        <f t="shared" si="9"/>
        <v>0</v>
      </c>
      <c r="AN46" s="19">
        <f t="shared" si="10"/>
        <v>0</v>
      </c>
      <c r="AO46" s="19">
        <f t="shared" si="11"/>
        <v>0</v>
      </c>
    </row>
    <row r="47" spans="1:43" x14ac:dyDescent="0.25">
      <c r="A47" s="205"/>
      <c r="B47" s="615"/>
      <c r="C47" s="623"/>
      <c r="D47" s="619"/>
      <c r="E47" s="610"/>
      <c r="F47" s="747" t="str">
        <f t="shared" si="0"/>
        <v/>
      </c>
      <c r="G47" s="753" t="str">
        <f t="shared" si="1"/>
        <v/>
      </c>
      <c r="H47" s="751"/>
      <c r="I47" s="609" t="str">
        <f t="shared" si="2"/>
        <v/>
      </c>
      <c r="J47" s="188" t="str">
        <f t="shared" si="12"/>
        <v/>
      </c>
      <c r="K47" s="188" t="str">
        <f t="shared" si="3"/>
        <v/>
      </c>
      <c r="L47" s="626" t="str">
        <f t="shared" si="13"/>
        <v/>
      </c>
      <c r="M47" s="188" t="str">
        <f t="shared" si="14"/>
        <v/>
      </c>
      <c r="N47" s="815" t="str">
        <f t="shared" si="4"/>
        <v/>
      </c>
      <c r="O47" s="816"/>
      <c r="P47" s="460"/>
      <c r="Q47" s="420"/>
      <c r="R47" s="350"/>
      <c r="S47" s="433"/>
      <c r="T47" s="394">
        <f t="shared" si="15"/>
        <v>0</v>
      </c>
      <c r="U47" s="425"/>
      <c r="V47" s="47"/>
      <c r="W47" s="46"/>
      <c r="X47" s="46"/>
      <c r="Y47" s="46"/>
      <c r="Z47" s="46"/>
      <c r="AA47" s="46"/>
      <c r="AB47" s="47"/>
      <c r="AC47" s="47"/>
      <c r="AD47" s="47"/>
      <c r="AE47" s="19">
        <f t="shared" si="16"/>
        <v>0</v>
      </c>
      <c r="AF47" s="19">
        <f t="shared" si="5"/>
        <v>0</v>
      </c>
      <c r="AG47" s="19">
        <f t="shared" si="6"/>
        <v>0</v>
      </c>
      <c r="AH47" s="19">
        <f t="shared" si="7"/>
        <v>0</v>
      </c>
      <c r="AK47" s="19"/>
      <c r="AL47" s="19">
        <f t="shared" si="8"/>
        <v>0</v>
      </c>
      <c r="AM47" s="19">
        <f t="shared" si="9"/>
        <v>0</v>
      </c>
      <c r="AN47" s="19">
        <f t="shared" si="10"/>
        <v>0</v>
      </c>
      <c r="AO47" s="19">
        <f t="shared" si="11"/>
        <v>0</v>
      </c>
    </row>
    <row r="48" spans="1:43" x14ac:dyDescent="0.25">
      <c r="A48" s="205"/>
      <c r="B48" s="615"/>
      <c r="C48" s="623"/>
      <c r="D48" s="619"/>
      <c r="E48" s="610"/>
      <c r="F48" s="747" t="str">
        <f t="shared" si="0"/>
        <v/>
      </c>
      <c r="G48" s="753" t="str">
        <f t="shared" si="1"/>
        <v/>
      </c>
      <c r="H48" s="751"/>
      <c r="I48" s="609" t="str">
        <f t="shared" si="2"/>
        <v/>
      </c>
      <c r="J48" s="188" t="str">
        <f t="shared" si="12"/>
        <v/>
      </c>
      <c r="K48" s="188" t="str">
        <f t="shared" si="3"/>
        <v/>
      </c>
      <c r="L48" s="626" t="str">
        <f t="shared" si="13"/>
        <v/>
      </c>
      <c r="M48" s="188" t="str">
        <f t="shared" si="14"/>
        <v/>
      </c>
      <c r="N48" s="815" t="str">
        <f t="shared" si="4"/>
        <v/>
      </c>
      <c r="O48" s="816"/>
      <c r="P48" s="460"/>
      <c r="Q48" s="420"/>
      <c r="R48" s="350"/>
      <c r="S48" s="433"/>
      <c r="T48" s="394">
        <f t="shared" si="15"/>
        <v>0</v>
      </c>
      <c r="U48" s="425"/>
      <c r="V48" s="47"/>
      <c r="W48" s="46"/>
      <c r="X48" s="46"/>
      <c r="Y48" s="46"/>
      <c r="Z48" s="46"/>
      <c r="AA48" s="46"/>
      <c r="AB48" s="47"/>
      <c r="AC48" s="47"/>
      <c r="AD48" s="47"/>
      <c r="AE48" s="19">
        <f t="shared" si="16"/>
        <v>0</v>
      </c>
      <c r="AF48" s="19">
        <f t="shared" si="5"/>
        <v>0</v>
      </c>
      <c r="AG48" s="19">
        <f t="shared" si="6"/>
        <v>0</v>
      </c>
      <c r="AH48" s="19">
        <f t="shared" si="7"/>
        <v>0</v>
      </c>
      <c r="AK48" s="19"/>
      <c r="AL48" s="19">
        <f t="shared" si="8"/>
        <v>0</v>
      </c>
      <c r="AM48" s="19">
        <f t="shared" si="9"/>
        <v>0</v>
      </c>
      <c r="AN48" s="19">
        <f t="shared" si="10"/>
        <v>0</v>
      </c>
      <c r="AO48" s="19">
        <f t="shared" si="11"/>
        <v>0</v>
      </c>
    </row>
    <row r="49" spans="1:41" x14ac:dyDescent="0.25">
      <c r="A49" s="205"/>
      <c r="B49" s="615"/>
      <c r="C49" s="623"/>
      <c r="D49" s="619"/>
      <c r="E49" s="610"/>
      <c r="F49" s="747" t="str">
        <f t="shared" si="0"/>
        <v/>
      </c>
      <c r="G49" s="753" t="str">
        <f t="shared" si="1"/>
        <v/>
      </c>
      <c r="H49" s="751"/>
      <c r="I49" s="609" t="str">
        <f t="shared" si="2"/>
        <v/>
      </c>
      <c r="J49" s="188" t="str">
        <f t="shared" si="12"/>
        <v/>
      </c>
      <c r="K49" s="188" t="str">
        <f t="shared" si="3"/>
        <v/>
      </c>
      <c r="L49" s="626" t="str">
        <f t="shared" si="13"/>
        <v/>
      </c>
      <c r="M49" s="188" t="str">
        <f t="shared" si="14"/>
        <v/>
      </c>
      <c r="N49" s="815" t="str">
        <f t="shared" si="4"/>
        <v/>
      </c>
      <c r="O49" s="816"/>
      <c r="P49" s="460"/>
      <c r="Q49" s="420"/>
      <c r="R49" s="350"/>
      <c r="S49" s="433"/>
      <c r="T49" s="394">
        <f t="shared" si="15"/>
        <v>0</v>
      </c>
      <c r="U49" s="425"/>
      <c r="V49" s="47"/>
      <c r="W49" s="46"/>
      <c r="X49" s="46"/>
      <c r="Y49" s="46"/>
      <c r="Z49" s="46"/>
      <c r="AA49" s="46"/>
      <c r="AB49" s="47"/>
      <c r="AC49" s="47"/>
      <c r="AD49" s="47"/>
      <c r="AE49" s="19">
        <f t="shared" si="16"/>
        <v>0</v>
      </c>
      <c r="AF49" s="19">
        <f t="shared" si="5"/>
        <v>0</v>
      </c>
      <c r="AG49" s="19">
        <f t="shared" si="6"/>
        <v>0</v>
      </c>
      <c r="AH49" s="19">
        <f t="shared" si="7"/>
        <v>0</v>
      </c>
      <c r="AK49" s="19"/>
      <c r="AL49" s="19">
        <f t="shared" si="8"/>
        <v>0</v>
      </c>
      <c r="AM49" s="19">
        <f t="shared" si="9"/>
        <v>0</v>
      </c>
      <c r="AN49" s="19">
        <f t="shared" si="10"/>
        <v>0</v>
      </c>
      <c r="AO49" s="19">
        <f t="shared" si="11"/>
        <v>0</v>
      </c>
    </row>
    <row r="50" spans="1:41" x14ac:dyDescent="0.25">
      <c r="A50" s="539"/>
      <c r="B50" s="614"/>
      <c r="C50" s="623"/>
      <c r="D50" s="619"/>
      <c r="E50" s="610"/>
      <c r="F50" s="747" t="str">
        <f t="shared" si="0"/>
        <v/>
      </c>
      <c r="G50" s="753" t="str">
        <f t="shared" si="1"/>
        <v/>
      </c>
      <c r="H50" s="751"/>
      <c r="I50" s="609" t="str">
        <f t="shared" si="2"/>
        <v/>
      </c>
      <c r="J50" s="188" t="str">
        <f t="shared" si="12"/>
        <v/>
      </c>
      <c r="K50" s="188" t="str">
        <f t="shared" si="3"/>
        <v/>
      </c>
      <c r="L50" s="626" t="str">
        <f t="shared" si="13"/>
        <v/>
      </c>
      <c r="M50" s="188" t="str">
        <f t="shared" si="14"/>
        <v/>
      </c>
      <c r="N50" s="815" t="str">
        <f t="shared" si="4"/>
        <v/>
      </c>
      <c r="O50" s="816"/>
      <c r="P50" s="460"/>
      <c r="Q50" s="420"/>
      <c r="R50" s="350"/>
      <c r="S50" s="433"/>
      <c r="T50" s="394">
        <f t="shared" si="15"/>
        <v>0</v>
      </c>
      <c r="U50" s="425"/>
      <c r="V50" s="47"/>
      <c r="W50" s="46"/>
      <c r="X50" s="46"/>
      <c r="Y50" s="46"/>
      <c r="Z50" s="46"/>
      <c r="AA50" s="46"/>
      <c r="AB50" s="47"/>
      <c r="AC50" s="47"/>
      <c r="AD50" s="47"/>
      <c r="AE50" s="19">
        <f t="shared" si="16"/>
        <v>0</v>
      </c>
      <c r="AF50" s="19">
        <f t="shared" si="5"/>
        <v>0</v>
      </c>
      <c r="AG50" s="19">
        <f t="shared" si="6"/>
        <v>0</v>
      </c>
      <c r="AH50" s="19">
        <f t="shared" si="7"/>
        <v>0</v>
      </c>
      <c r="AK50" s="19"/>
      <c r="AL50" s="19">
        <f t="shared" si="8"/>
        <v>0</v>
      </c>
      <c r="AM50" s="19">
        <f t="shared" si="9"/>
        <v>0</v>
      </c>
      <c r="AN50" s="19">
        <f t="shared" si="10"/>
        <v>0</v>
      </c>
      <c r="AO50" s="19">
        <f t="shared" si="11"/>
        <v>0</v>
      </c>
    </row>
    <row r="51" spans="1:41" x14ac:dyDescent="0.25">
      <c r="A51" s="539"/>
      <c r="B51" s="614"/>
      <c r="C51" s="623"/>
      <c r="D51" s="619"/>
      <c r="E51" s="610"/>
      <c r="F51" s="747" t="str">
        <f t="shared" si="0"/>
        <v/>
      </c>
      <c r="G51" s="753" t="str">
        <f t="shared" si="1"/>
        <v/>
      </c>
      <c r="H51" s="751"/>
      <c r="I51" s="609" t="str">
        <f t="shared" si="2"/>
        <v/>
      </c>
      <c r="J51" s="188" t="str">
        <f t="shared" si="12"/>
        <v/>
      </c>
      <c r="K51" s="188" t="str">
        <f t="shared" si="3"/>
        <v/>
      </c>
      <c r="L51" s="626" t="str">
        <f t="shared" si="13"/>
        <v/>
      </c>
      <c r="M51" s="188" t="str">
        <f t="shared" si="14"/>
        <v/>
      </c>
      <c r="N51" s="815" t="str">
        <f t="shared" si="4"/>
        <v/>
      </c>
      <c r="O51" s="816"/>
      <c r="P51" s="460"/>
      <c r="Q51" s="420"/>
      <c r="R51" s="350"/>
      <c r="S51" s="433"/>
      <c r="T51" s="394">
        <f t="shared" si="15"/>
        <v>0</v>
      </c>
      <c r="U51" s="425"/>
      <c r="V51" s="47"/>
      <c r="W51" s="46"/>
      <c r="X51" s="46"/>
      <c r="Y51" s="46"/>
      <c r="Z51" s="46"/>
      <c r="AA51" s="46"/>
      <c r="AB51" s="47"/>
      <c r="AC51" s="47"/>
      <c r="AD51" s="47"/>
      <c r="AE51" s="19">
        <f t="shared" si="16"/>
        <v>0</v>
      </c>
      <c r="AF51" s="19">
        <f t="shared" si="5"/>
        <v>0</v>
      </c>
      <c r="AG51" s="19">
        <f t="shared" si="6"/>
        <v>0</v>
      </c>
      <c r="AH51" s="19">
        <f t="shared" si="7"/>
        <v>0</v>
      </c>
      <c r="AK51" s="19"/>
      <c r="AL51" s="19">
        <f t="shared" si="8"/>
        <v>0</v>
      </c>
      <c r="AM51" s="19">
        <f t="shared" si="9"/>
        <v>0</v>
      </c>
      <c r="AN51" s="19">
        <f t="shared" si="10"/>
        <v>0</v>
      </c>
      <c r="AO51" s="19">
        <f t="shared" si="11"/>
        <v>0</v>
      </c>
    </row>
    <row r="52" spans="1:41" x14ac:dyDescent="0.25">
      <c r="A52" s="539"/>
      <c r="B52" s="614"/>
      <c r="C52" s="623"/>
      <c r="D52" s="619"/>
      <c r="E52" s="610"/>
      <c r="F52" s="747" t="str">
        <f t="shared" si="0"/>
        <v/>
      </c>
      <c r="G52" s="753" t="str">
        <f t="shared" si="1"/>
        <v/>
      </c>
      <c r="H52" s="751"/>
      <c r="I52" s="609" t="str">
        <f t="shared" si="2"/>
        <v/>
      </c>
      <c r="J52" s="188" t="str">
        <f t="shared" si="12"/>
        <v/>
      </c>
      <c r="K52" s="188" t="str">
        <f t="shared" si="3"/>
        <v/>
      </c>
      <c r="L52" s="626" t="str">
        <f t="shared" si="13"/>
        <v/>
      </c>
      <c r="M52" s="188" t="str">
        <f t="shared" si="14"/>
        <v/>
      </c>
      <c r="N52" s="815" t="str">
        <f t="shared" si="4"/>
        <v/>
      </c>
      <c r="O52" s="816"/>
      <c r="P52" s="460"/>
      <c r="Q52" s="420"/>
      <c r="R52" s="350"/>
      <c r="S52" s="433"/>
      <c r="T52" s="394">
        <f t="shared" si="15"/>
        <v>0</v>
      </c>
      <c r="U52" s="425"/>
      <c r="V52" s="47"/>
      <c r="W52" s="46"/>
      <c r="X52" s="46"/>
      <c r="Y52" s="46"/>
      <c r="Z52" s="46"/>
      <c r="AA52" s="46"/>
      <c r="AB52" s="47"/>
      <c r="AC52" s="47"/>
      <c r="AD52" s="47"/>
      <c r="AE52" s="19">
        <f t="shared" si="16"/>
        <v>0</v>
      </c>
      <c r="AF52" s="19">
        <f t="shared" si="5"/>
        <v>0</v>
      </c>
      <c r="AG52" s="19">
        <f t="shared" si="6"/>
        <v>0</v>
      </c>
      <c r="AH52" s="19">
        <f t="shared" si="7"/>
        <v>0</v>
      </c>
      <c r="AK52" s="19"/>
      <c r="AL52" s="19">
        <f t="shared" si="8"/>
        <v>0</v>
      </c>
      <c r="AM52" s="19">
        <f t="shared" si="9"/>
        <v>0</v>
      </c>
      <c r="AN52" s="19">
        <f t="shared" si="10"/>
        <v>0</v>
      </c>
      <c r="AO52" s="19">
        <f t="shared" si="11"/>
        <v>0</v>
      </c>
    </row>
    <row r="53" spans="1:41" x14ac:dyDescent="0.25">
      <c r="A53" s="539"/>
      <c r="B53" s="614"/>
      <c r="C53" s="623"/>
      <c r="D53" s="619"/>
      <c r="E53" s="610"/>
      <c r="F53" s="747" t="str">
        <f t="shared" si="0"/>
        <v/>
      </c>
      <c r="G53" s="753" t="str">
        <f t="shared" si="1"/>
        <v/>
      </c>
      <c r="H53" s="751"/>
      <c r="I53" s="609" t="str">
        <f t="shared" si="2"/>
        <v/>
      </c>
      <c r="J53" s="188" t="str">
        <f t="shared" si="12"/>
        <v/>
      </c>
      <c r="K53" s="188" t="str">
        <f t="shared" si="3"/>
        <v/>
      </c>
      <c r="L53" s="626" t="str">
        <f t="shared" si="13"/>
        <v/>
      </c>
      <c r="M53" s="188" t="str">
        <f t="shared" si="14"/>
        <v/>
      </c>
      <c r="N53" s="815" t="str">
        <f t="shared" si="4"/>
        <v/>
      </c>
      <c r="O53" s="816"/>
      <c r="P53" s="460"/>
      <c r="Q53" s="420"/>
      <c r="R53" s="350"/>
      <c r="S53" s="433"/>
      <c r="T53" s="394">
        <f t="shared" si="15"/>
        <v>0</v>
      </c>
      <c r="U53" s="425"/>
      <c r="V53" s="47"/>
      <c r="W53" s="46"/>
      <c r="X53" s="46"/>
      <c r="Y53" s="46"/>
      <c r="Z53" s="46"/>
      <c r="AA53" s="46"/>
      <c r="AB53" s="47"/>
      <c r="AC53" s="47"/>
      <c r="AD53" s="47"/>
      <c r="AE53" s="19">
        <f t="shared" si="16"/>
        <v>0</v>
      </c>
      <c r="AF53" s="19">
        <f t="shared" si="5"/>
        <v>0</v>
      </c>
      <c r="AG53" s="19">
        <f t="shared" si="6"/>
        <v>0</v>
      </c>
      <c r="AH53" s="19">
        <f t="shared" si="7"/>
        <v>0</v>
      </c>
      <c r="AK53" s="19"/>
      <c r="AL53" s="19">
        <f t="shared" si="8"/>
        <v>0</v>
      </c>
      <c r="AM53" s="19">
        <f t="shared" si="9"/>
        <v>0</v>
      </c>
      <c r="AN53" s="19">
        <f t="shared" si="10"/>
        <v>0</v>
      </c>
      <c r="AO53" s="19">
        <f t="shared" si="11"/>
        <v>0</v>
      </c>
    </row>
    <row r="54" spans="1:41" x14ac:dyDescent="0.25">
      <c r="A54" s="539"/>
      <c r="B54" s="614"/>
      <c r="C54" s="623"/>
      <c r="D54" s="619"/>
      <c r="E54" s="610"/>
      <c r="F54" s="747" t="str">
        <f t="shared" si="0"/>
        <v/>
      </c>
      <c r="G54" s="753" t="str">
        <f t="shared" si="1"/>
        <v/>
      </c>
      <c r="H54" s="751"/>
      <c r="I54" s="609" t="str">
        <f t="shared" si="2"/>
        <v/>
      </c>
      <c r="J54" s="188" t="str">
        <f t="shared" si="12"/>
        <v/>
      </c>
      <c r="K54" s="188" t="str">
        <f t="shared" si="3"/>
        <v/>
      </c>
      <c r="L54" s="626" t="str">
        <f t="shared" si="13"/>
        <v/>
      </c>
      <c r="M54" s="188" t="str">
        <f t="shared" si="14"/>
        <v/>
      </c>
      <c r="N54" s="815" t="str">
        <f t="shared" si="4"/>
        <v/>
      </c>
      <c r="O54" s="816"/>
      <c r="P54" s="460"/>
      <c r="Q54" s="420"/>
      <c r="R54" s="350"/>
      <c r="S54" s="433"/>
      <c r="T54" s="394">
        <f t="shared" si="15"/>
        <v>0</v>
      </c>
      <c r="U54" s="425"/>
      <c r="V54" s="47"/>
      <c r="W54" s="46"/>
      <c r="X54" s="46"/>
      <c r="Y54" s="46"/>
      <c r="Z54" s="46"/>
      <c r="AA54" s="46"/>
      <c r="AB54" s="47"/>
      <c r="AC54" s="47"/>
      <c r="AD54" s="47"/>
      <c r="AE54" s="19">
        <f t="shared" si="16"/>
        <v>0</v>
      </c>
      <c r="AF54" s="19">
        <f t="shared" si="5"/>
        <v>0</v>
      </c>
      <c r="AG54" s="19">
        <f t="shared" si="6"/>
        <v>0</v>
      </c>
      <c r="AH54" s="19">
        <f t="shared" si="7"/>
        <v>0</v>
      </c>
      <c r="AK54" s="19"/>
      <c r="AL54" s="19">
        <f t="shared" si="8"/>
        <v>0</v>
      </c>
      <c r="AM54" s="19">
        <f t="shared" si="9"/>
        <v>0</v>
      </c>
      <c r="AN54" s="19">
        <f t="shared" si="10"/>
        <v>0</v>
      </c>
      <c r="AO54" s="19">
        <f t="shared" si="11"/>
        <v>0</v>
      </c>
    </row>
    <row r="55" spans="1:41" x14ac:dyDescent="0.25">
      <c r="A55" s="205"/>
      <c r="B55" s="615"/>
      <c r="C55" s="623"/>
      <c r="D55" s="619"/>
      <c r="E55" s="610"/>
      <c r="F55" s="747" t="str">
        <f t="shared" si="0"/>
        <v/>
      </c>
      <c r="G55" s="753" t="str">
        <f t="shared" si="1"/>
        <v/>
      </c>
      <c r="H55" s="751"/>
      <c r="I55" s="609" t="str">
        <f t="shared" si="2"/>
        <v/>
      </c>
      <c r="J55" s="188" t="str">
        <f t="shared" si="12"/>
        <v/>
      </c>
      <c r="K55" s="188" t="str">
        <f t="shared" si="3"/>
        <v/>
      </c>
      <c r="L55" s="626" t="str">
        <f t="shared" si="13"/>
        <v/>
      </c>
      <c r="M55" s="188" t="str">
        <f t="shared" si="14"/>
        <v/>
      </c>
      <c r="N55" s="815" t="str">
        <f t="shared" si="4"/>
        <v/>
      </c>
      <c r="O55" s="816"/>
      <c r="P55" s="460"/>
      <c r="Q55" s="420"/>
      <c r="R55" s="350"/>
      <c r="S55" s="433"/>
      <c r="T55" s="394">
        <f t="shared" si="15"/>
        <v>0</v>
      </c>
      <c r="U55" s="425"/>
      <c r="V55" s="47"/>
      <c r="W55" s="46"/>
      <c r="X55" s="46"/>
      <c r="Y55" s="46"/>
      <c r="Z55" s="46"/>
      <c r="AA55" s="46"/>
      <c r="AB55" s="47"/>
      <c r="AC55" s="47"/>
      <c r="AD55" s="47"/>
      <c r="AE55" s="19">
        <f t="shared" si="16"/>
        <v>0</v>
      </c>
      <c r="AF55" s="19">
        <f t="shared" si="5"/>
        <v>0</v>
      </c>
      <c r="AG55" s="19">
        <f t="shared" si="6"/>
        <v>0</v>
      </c>
      <c r="AH55" s="19">
        <f t="shared" si="7"/>
        <v>0</v>
      </c>
      <c r="AK55" s="19"/>
      <c r="AL55" s="19">
        <f t="shared" si="8"/>
        <v>0</v>
      </c>
      <c r="AM55" s="19">
        <f t="shared" si="9"/>
        <v>0</v>
      </c>
      <c r="AN55" s="19">
        <f t="shared" si="10"/>
        <v>0</v>
      </c>
      <c r="AO55" s="19">
        <f t="shared" si="11"/>
        <v>0</v>
      </c>
    </row>
    <row r="56" spans="1:41" x14ac:dyDescent="0.25">
      <c r="A56" s="205"/>
      <c r="B56" s="615"/>
      <c r="C56" s="623"/>
      <c r="D56" s="619"/>
      <c r="E56" s="610"/>
      <c r="F56" s="747" t="str">
        <f t="shared" si="0"/>
        <v/>
      </c>
      <c r="G56" s="753" t="str">
        <f t="shared" si="1"/>
        <v/>
      </c>
      <c r="H56" s="751"/>
      <c r="I56" s="609" t="str">
        <f t="shared" si="2"/>
        <v/>
      </c>
      <c r="J56" s="188" t="str">
        <f t="shared" si="12"/>
        <v/>
      </c>
      <c r="K56" s="188" t="str">
        <f t="shared" si="3"/>
        <v/>
      </c>
      <c r="L56" s="626" t="str">
        <f t="shared" si="13"/>
        <v/>
      </c>
      <c r="M56" s="188" t="str">
        <f t="shared" si="14"/>
        <v/>
      </c>
      <c r="N56" s="815" t="str">
        <f t="shared" si="4"/>
        <v/>
      </c>
      <c r="O56" s="816"/>
      <c r="P56" s="460"/>
      <c r="Q56" s="420"/>
      <c r="R56" s="350"/>
      <c r="S56" s="433"/>
      <c r="T56" s="394">
        <f t="shared" si="15"/>
        <v>0</v>
      </c>
      <c r="U56" s="425"/>
      <c r="V56" s="47"/>
      <c r="W56" s="46"/>
      <c r="X56" s="46"/>
      <c r="Y56" s="46"/>
      <c r="Z56" s="46"/>
      <c r="AA56" s="46"/>
      <c r="AB56" s="47"/>
      <c r="AC56" s="47"/>
      <c r="AD56" s="47"/>
      <c r="AE56" s="19">
        <f t="shared" si="16"/>
        <v>0</v>
      </c>
      <c r="AF56" s="19">
        <f t="shared" si="5"/>
        <v>0</v>
      </c>
      <c r="AG56" s="19">
        <f t="shared" si="6"/>
        <v>0</v>
      </c>
      <c r="AH56" s="19">
        <f t="shared" si="7"/>
        <v>0</v>
      </c>
      <c r="AK56" s="19"/>
      <c r="AL56" s="19">
        <f t="shared" si="8"/>
        <v>0</v>
      </c>
      <c r="AM56" s="19">
        <f t="shared" si="9"/>
        <v>0</v>
      </c>
      <c r="AN56" s="19">
        <f t="shared" si="10"/>
        <v>0</v>
      </c>
      <c r="AO56" s="19">
        <f t="shared" si="11"/>
        <v>0</v>
      </c>
    </row>
    <row r="57" spans="1:41" x14ac:dyDescent="0.25">
      <c r="A57" s="205"/>
      <c r="B57" s="615"/>
      <c r="C57" s="623"/>
      <c r="D57" s="619"/>
      <c r="E57" s="610"/>
      <c r="F57" s="747" t="str">
        <f t="shared" si="0"/>
        <v/>
      </c>
      <c r="G57" s="753" t="str">
        <f t="shared" si="1"/>
        <v/>
      </c>
      <c r="H57" s="751"/>
      <c r="I57" s="609" t="str">
        <f t="shared" si="2"/>
        <v/>
      </c>
      <c r="J57" s="188" t="str">
        <f t="shared" si="12"/>
        <v/>
      </c>
      <c r="K57" s="188" t="str">
        <f t="shared" si="3"/>
        <v/>
      </c>
      <c r="L57" s="626" t="str">
        <f t="shared" si="13"/>
        <v/>
      </c>
      <c r="M57" s="188" t="str">
        <f t="shared" si="14"/>
        <v/>
      </c>
      <c r="N57" s="815" t="str">
        <f t="shared" si="4"/>
        <v/>
      </c>
      <c r="O57" s="816"/>
      <c r="P57" s="460"/>
      <c r="Q57" s="420"/>
      <c r="R57" s="350"/>
      <c r="S57" s="433"/>
      <c r="T57" s="394">
        <f t="shared" si="15"/>
        <v>0</v>
      </c>
      <c r="U57" s="425"/>
      <c r="V57" s="47"/>
      <c r="W57" s="46"/>
      <c r="X57" s="46"/>
      <c r="Y57" s="46"/>
      <c r="Z57" s="46"/>
      <c r="AA57" s="46"/>
      <c r="AB57" s="47"/>
      <c r="AC57" s="47"/>
      <c r="AD57" s="47"/>
      <c r="AE57" s="19">
        <f t="shared" si="16"/>
        <v>0</v>
      </c>
      <c r="AF57" s="19">
        <f t="shared" si="5"/>
        <v>0</v>
      </c>
      <c r="AG57" s="19">
        <f t="shared" si="6"/>
        <v>0</v>
      </c>
      <c r="AH57" s="19">
        <f t="shared" si="7"/>
        <v>0</v>
      </c>
      <c r="AK57" s="19"/>
      <c r="AL57" s="19">
        <f t="shared" si="8"/>
        <v>0</v>
      </c>
      <c r="AM57" s="19">
        <f t="shared" si="9"/>
        <v>0</v>
      </c>
      <c r="AN57" s="19">
        <f t="shared" si="10"/>
        <v>0</v>
      </c>
      <c r="AO57" s="19">
        <f t="shared" si="11"/>
        <v>0</v>
      </c>
    </row>
    <row r="58" spans="1:41" x14ac:dyDescent="0.25">
      <c r="A58" s="539"/>
      <c r="B58" s="614"/>
      <c r="C58" s="623"/>
      <c r="D58" s="619"/>
      <c r="E58" s="610"/>
      <c r="F58" s="747" t="str">
        <f t="shared" si="0"/>
        <v/>
      </c>
      <c r="G58" s="753" t="str">
        <f t="shared" si="1"/>
        <v/>
      </c>
      <c r="H58" s="751"/>
      <c r="I58" s="609" t="str">
        <f t="shared" si="2"/>
        <v/>
      </c>
      <c r="J58" s="188" t="str">
        <f t="shared" si="12"/>
        <v/>
      </c>
      <c r="K58" s="188" t="str">
        <f t="shared" si="3"/>
        <v/>
      </c>
      <c r="L58" s="626" t="str">
        <f t="shared" si="13"/>
        <v/>
      </c>
      <c r="M58" s="188" t="str">
        <f t="shared" si="14"/>
        <v/>
      </c>
      <c r="N58" s="815" t="str">
        <f t="shared" si="4"/>
        <v/>
      </c>
      <c r="O58" s="816"/>
      <c r="P58" s="460"/>
      <c r="Q58" s="420"/>
      <c r="R58" s="350"/>
      <c r="S58" s="433"/>
      <c r="T58" s="394">
        <f t="shared" si="15"/>
        <v>0</v>
      </c>
      <c r="U58" s="425"/>
      <c r="V58" s="47"/>
      <c r="W58" s="46"/>
      <c r="X58" s="46"/>
      <c r="Y58" s="46"/>
      <c r="Z58" s="46"/>
      <c r="AA58" s="46"/>
      <c r="AB58" s="47"/>
      <c r="AC58" s="47"/>
      <c r="AD58" s="47"/>
      <c r="AE58" s="19">
        <f t="shared" si="16"/>
        <v>0</v>
      </c>
      <c r="AF58" s="19">
        <f t="shared" si="5"/>
        <v>0</v>
      </c>
      <c r="AG58" s="19">
        <f t="shared" si="6"/>
        <v>0</v>
      </c>
      <c r="AH58" s="19">
        <f t="shared" si="7"/>
        <v>0</v>
      </c>
      <c r="AK58" s="19"/>
      <c r="AL58" s="19">
        <f t="shared" si="8"/>
        <v>0</v>
      </c>
      <c r="AM58" s="19">
        <f t="shared" si="9"/>
        <v>0</v>
      </c>
      <c r="AN58" s="19">
        <f t="shared" si="10"/>
        <v>0</v>
      </c>
      <c r="AO58" s="19">
        <f t="shared" si="11"/>
        <v>0</v>
      </c>
    </row>
    <row r="59" spans="1:41" x14ac:dyDescent="0.25">
      <c r="A59" s="539"/>
      <c r="B59" s="614"/>
      <c r="C59" s="623"/>
      <c r="D59" s="619"/>
      <c r="E59" s="610"/>
      <c r="F59" s="747" t="str">
        <f t="shared" si="0"/>
        <v/>
      </c>
      <c r="G59" s="753" t="str">
        <f t="shared" si="1"/>
        <v/>
      </c>
      <c r="H59" s="751"/>
      <c r="I59" s="609" t="str">
        <f t="shared" si="2"/>
        <v/>
      </c>
      <c r="J59" s="188" t="str">
        <f t="shared" si="12"/>
        <v/>
      </c>
      <c r="K59" s="188" t="str">
        <f t="shared" si="3"/>
        <v/>
      </c>
      <c r="L59" s="626" t="str">
        <f t="shared" si="13"/>
        <v/>
      </c>
      <c r="M59" s="188" t="str">
        <f t="shared" si="14"/>
        <v/>
      </c>
      <c r="N59" s="815" t="str">
        <f t="shared" si="4"/>
        <v/>
      </c>
      <c r="O59" s="816"/>
      <c r="P59" s="460"/>
      <c r="Q59" s="420"/>
      <c r="R59" s="350"/>
      <c r="S59" s="433"/>
      <c r="T59" s="394">
        <f t="shared" si="15"/>
        <v>0</v>
      </c>
      <c r="U59" s="425"/>
      <c r="V59" s="47"/>
      <c r="W59" s="46"/>
      <c r="X59" s="46"/>
      <c r="Y59" s="46"/>
      <c r="Z59" s="46"/>
      <c r="AA59" s="46"/>
      <c r="AB59" s="47"/>
      <c r="AC59" s="47"/>
      <c r="AD59" s="47"/>
      <c r="AE59" s="19">
        <f t="shared" si="16"/>
        <v>0</v>
      </c>
      <c r="AF59" s="19">
        <f t="shared" si="5"/>
        <v>0</v>
      </c>
      <c r="AG59" s="19">
        <f t="shared" si="6"/>
        <v>0</v>
      </c>
      <c r="AH59" s="19">
        <f t="shared" si="7"/>
        <v>0</v>
      </c>
      <c r="AK59" s="19"/>
      <c r="AL59" s="19">
        <f t="shared" si="8"/>
        <v>0</v>
      </c>
      <c r="AM59" s="19">
        <f t="shared" si="9"/>
        <v>0</v>
      </c>
      <c r="AN59" s="19">
        <f t="shared" si="10"/>
        <v>0</v>
      </c>
      <c r="AO59" s="19">
        <f t="shared" si="11"/>
        <v>0</v>
      </c>
    </row>
    <row r="60" spans="1:41" x14ac:dyDescent="0.25">
      <c r="A60" s="539"/>
      <c r="B60" s="614"/>
      <c r="C60" s="623"/>
      <c r="D60" s="619"/>
      <c r="E60" s="610"/>
      <c r="F60" s="747" t="str">
        <f t="shared" si="0"/>
        <v/>
      </c>
      <c r="G60" s="753" t="str">
        <f t="shared" si="1"/>
        <v/>
      </c>
      <c r="H60" s="751"/>
      <c r="I60" s="609" t="str">
        <f t="shared" si="2"/>
        <v/>
      </c>
      <c r="J60" s="188" t="str">
        <f t="shared" si="12"/>
        <v/>
      </c>
      <c r="K60" s="188" t="str">
        <f t="shared" si="3"/>
        <v/>
      </c>
      <c r="L60" s="626" t="str">
        <f t="shared" si="13"/>
        <v/>
      </c>
      <c r="M60" s="188" t="str">
        <f t="shared" si="14"/>
        <v/>
      </c>
      <c r="N60" s="815" t="str">
        <f t="shared" si="4"/>
        <v/>
      </c>
      <c r="O60" s="816"/>
      <c r="P60" s="460"/>
      <c r="Q60" s="420"/>
      <c r="R60" s="350"/>
      <c r="S60" s="433"/>
      <c r="T60" s="394">
        <f t="shared" si="15"/>
        <v>0</v>
      </c>
      <c r="U60" s="425"/>
      <c r="V60" s="47"/>
      <c r="W60" s="46"/>
      <c r="X60" s="46"/>
      <c r="Y60" s="46"/>
      <c r="Z60" s="46"/>
      <c r="AA60" s="46"/>
      <c r="AB60" s="47"/>
      <c r="AC60" s="47"/>
      <c r="AD60" s="47"/>
      <c r="AE60" s="19">
        <f t="shared" si="16"/>
        <v>0</v>
      </c>
      <c r="AF60" s="19">
        <f t="shared" si="5"/>
        <v>0</v>
      </c>
      <c r="AG60" s="19">
        <f t="shared" si="6"/>
        <v>0</v>
      </c>
      <c r="AH60" s="19">
        <f t="shared" si="7"/>
        <v>0</v>
      </c>
      <c r="AK60" s="19"/>
      <c r="AL60" s="19">
        <f t="shared" si="8"/>
        <v>0</v>
      </c>
      <c r="AM60" s="19">
        <f t="shared" si="9"/>
        <v>0</v>
      </c>
      <c r="AN60" s="19">
        <f t="shared" si="10"/>
        <v>0</v>
      </c>
      <c r="AO60" s="19">
        <f t="shared" si="11"/>
        <v>0</v>
      </c>
    </row>
    <row r="61" spans="1:41" x14ac:dyDescent="0.25">
      <c r="A61" s="539"/>
      <c r="B61" s="614"/>
      <c r="C61" s="623"/>
      <c r="D61" s="619"/>
      <c r="E61" s="610"/>
      <c r="F61" s="747" t="str">
        <f t="shared" si="0"/>
        <v/>
      </c>
      <c r="G61" s="753" t="str">
        <f t="shared" si="1"/>
        <v/>
      </c>
      <c r="H61" s="751"/>
      <c r="I61" s="609" t="str">
        <f t="shared" si="2"/>
        <v/>
      </c>
      <c r="J61" s="188" t="str">
        <f t="shared" si="12"/>
        <v/>
      </c>
      <c r="K61" s="188" t="str">
        <f t="shared" si="3"/>
        <v/>
      </c>
      <c r="L61" s="626" t="str">
        <f t="shared" si="13"/>
        <v/>
      </c>
      <c r="M61" s="188" t="str">
        <f t="shared" si="14"/>
        <v/>
      </c>
      <c r="N61" s="815" t="str">
        <f t="shared" si="4"/>
        <v/>
      </c>
      <c r="O61" s="816"/>
      <c r="P61" s="460"/>
      <c r="Q61" s="420"/>
      <c r="R61" s="350"/>
      <c r="S61" s="433"/>
      <c r="T61" s="394">
        <f>IFERROR(IF((E61*$L$17)&gt;$L$18,(((E61*$L$17)-$L$18)*H61*(1+L61)),0),"")</f>
        <v>0</v>
      </c>
      <c r="U61" s="425"/>
      <c r="V61" s="47"/>
      <c r="W61" s="46"/>
      <c r="X61" s="46"/>
      <c r="Y61" s="46"/>
      <c r="Z61" s="46"/>
      <c r="AA61" s="46"/>
      <c r="AB61" s="47"/>
      <c r="AC61" s="47"/>
      <c r="AD61" s="47"/>
      <c r="AE61" s="19">
        <f t="shared" si="16"/>
        <v>0</v>
      </c>
      <c r="AF61" s="19">
        <f t="shared" si="5"/>
        <v>0</v>
      </c>
      <c r="AG61" s="19">
        <f t="shared" si="6"/>
        <v>0</v>
      </c>
      <c r="AH61" s="19">
        <f t="shared" si="7"/>
        <v>0</v>
      </c>
      <c r="AK61" s="19"/>
      <c r="AL61" s="19">
        <f t="shared" si="8"/>
        <v>0</v>
      </c>
      <c r="AM61" s="19">
        <f t="shared" si="9"/>
        <v>0</v>
      </c>
      <c r="AN61" s="19">
        <f t="shared" si="10"/>
        <v>0</v>
      </c>
      <c r="AO61" s="19">
        <f t="shared" si="11"/>
        <v>0</v>
      </c>
    </row>
    <row r="62" spans="1:41" x14ac:dyDescent="0.25">
      <c r="A62" s="539"/>
      <c r="B62" s="614"/>
      <c r="C62" s="623"/>
      <c r="D62" s="619"/>
      <c r="E62" s="610"/>
      <c r="F62" s="747" t="str">
        <f t="shared" si="0"/>
        <v/>
      </c>
      <c r="G62" s="753" t="str">
        <f t="shared" si="1"/>
        <v/>
      </c>
      <c r="H62" s="751"/>
      <c r="I62" s="609" t="str">
        <f t="shared" si="2"/>
        <v/>
      </c>
      <c r="J62" s="188" t="str">
        <f t="shared" si="12"/>
        <v/>
      </c>
      <c r="K62" s="188" t="str">
        <f t="shared" si="3"/>
        <v/>
      </c>
      <c r="L62" s="626" t="str">
        <f t="shared" si="13"/>
        <v/>
      </c>
      <c r="M62" s="188" t="str">
        <f t="shared" si="14"/>
        <v/>
      </c>
      <c r="N62" s="815" t="str">
        <f t="shared" si="4"/>
        <v/>
      </c>
      <c r="O62" s="816"/>
      <c r="P62" s="460"/>
      <c r="Q62" s="420"/>
      <c r="R62" s="350"/>
      <c r="S62" s="433"/>
      <c r="T62" s="394">
        <f t="shared" si="15"/>
        <v>0</v>
      </c>
      <c r="U62" s="425"/>
      <c r="V62" s="47"/>
      <c r="W62" s="46"/>
      <c r="X62" s="46"/>
      <c r="Y62" s="46"/>
      <c r="Z62" s="46"/>
      <c r="AA62" s="46"/>
      <c r="AB62" s="47"/>
      <c r="AC62" s="47"/>
      <c r="AD62" s="47"/>
      <c r="AE62" s="19">
        <f t="shared" si="16"/>
        <v>0</v>
      </c>
      <c r="AF62" s="19">
        <f t="shared" si="5"/>
        <v>0</v>
      </c>
      <c r="AG62" s="19">
        <f t="shared" si="6"/>
        <v>0</v>
      </c>
      <c r="AH62" s="19">
        <f t="shared" si="7"/>
        <v>0</v>
      </c>
      <c r="AK62" s="19"/>
      <c r="AL62" s="19">
        <f t="shared" si="8"/>
        <v>0</v>
      </c>
      <c r="AM62" s="19">
        <f t="shared" si="9"/>
        <v>0</v>
      </c>
      <c r="AN62" s="19">
        <f t="shared" si="10"/>
        <v>0</v>
      </c>
      <c r="AO62" s="19">
        <f t="shared" si="11"/>
        <v>0</v>
      </c>
    </row>
    <row r="63" spans="1:41" x14ac:dyDescent="0.25">
      <c r="A63" s="205"/>
      <c r="B63" s="615"/>
      <c r="C63" s="623"/>
      <c r="D63" s="619"/>
      <c r="E63" s="611"/>
      <c r="F63" s="748" t="str">
        <f t="shared" si="0"/>
        <v/>
      </c>
      <c r="G63" s="754" t="str">
        <f t="shared" si="1"/>
        <v/>
      </c>
      <c r="H63" s="752"/>
      <c r="I63" s="612" t="str">
        <f t="shared" si="2"/>
        <v/>
      </c>
      <c r="J63" s="188" t="str">
        <f t="shared" si="12"/>
        <v/>
      </c>
      <c r="K63" s="188" t="str">
        <f t="shared" si="3"/>
        <v/>
      </c>
      <c r="L63" s="627" t="str">
        <f t="shared" si="13"/>
        <v/>
      </c>
      <c r="M63" s="628" t="str">
        <f t="shared" si="14"/>
        <v/>
      </c>
      <c r="N63" s="817" t="str">
        <f t="shared" si="4"/>
        <v/>
      </c>
      <c r="O63" s="818"/>
      <c r="P63" s="460"/>
      <c r="Q63" s="421"/>
      <c r="R63" s="351"/>
      <c r="S63" s="433"/>
      <c r="T63" s="394">
        <f t="shared" si="15"/>
        <v>0</v>
      </c>
      <c r="U63" s="425"/>
      <c r="V63" s="47"/>
      <c r="W63" s="46"/>
      <c r="X63" s="46"/>
      <c r="Y63" s="46"/>
      <c r="Z63" s="46"/>
      <c r="AA63" s="46"/>
      <c r="AB63" s="47"/>
      <c r="AC63" s="47"/>
      <c r="AD63" s="47"/>
      <c r="AE63" s="19">
        <f t="shared" si="16"/>
        <v>0</v>
      </c>
      <c r="AF63" s="19">
        <f t="shared" si="5"/>
        <v>0</v>
      </c>
      <c r="AG63" s="19">
        <f t="shared" si="6"/>
        <v>0</v>
      </c>
      <c r="AH63" s="19">
        <f t="shared" ref="AH63" si="17">ROUND(IF(AND(ENDDATE&gt;CURRENTFYE,E63*FACTOR&gt;=MAXSAL),MAXSAL*yr1percent,0),0)</f>
        <v>0</v>
      </c>
      <c r="AK63" s="19"/>
      <c r="AL63" s="19">
        <f t="shared" si="8"/>
        <v>0</v>
      </c>
      <c r="AM63" s="19">
        <f t="shared" si="9"/>
        <v>0</v>
      </c>
      <c r="AN63" s="19">
        <f t="shared" si="10"/>
        <v>0</v>
      </c>
      <c r="AO63" s="19">
        <f t="shared" si="11"/>
        <v>0</v>
      </c>
    </row>
    <row r="64" spans="1:41" x14ac:dyDescent="0.25">
      <c r="A64" s="95" t="s">
        <v>41</v>
      </c>
      <c r="B64" s="189"/>
      <c r="C64" s="189"/>
      <c r="D64" s="189"/>
      <c r="E64" s="163"/>
      <c r="F64" s="163"/>
      <c r="G64" s="262"/>
      <c r="H64" s="262"/>
      <c r="I64" s="163"/>
      <c r="J64" s="96"/>
      <c r="K64" s="96">
        <f>SUM(K24:K63)</f>
        <v>0</v>
      </c>
      <c r="L64" s="96"/>
      <c r="M64" s="96">
        <f>SUM(M24:M63)</f>
        <v>0</v>
      </c>
      <c r="N64" s="96"/>
      <c r="O64" s="96">
        <f>SUM(N24:O63)</f>
        <v>0</v>
      </c>
      <c r="P64" s="31"/>
      <c r="R64" s="96">
        <f>SUM(R24:R63)</f>
        <v>0</v>
      </c>
      <c r="S64" s="31"/>
      <c r="T64" s="96">
        <f>SUM(T24:T63)</f>
        <v>0</v>
      </c>
      <c r="U64" s="423"/>
      <c r="V64" s="31"/>
      <c r="W64" s="80"/>
      <c r="X64" s="80"/>
      <c r="Y64" s="80"/>
      <c r="Z64" s="80"/>
      <c r="AA64" s="80"/>
      <c r="AB64" s="31"/>
      <c r="AC64" s="31"/>
      <c r="AD64" s="31"/>
      <c r="AE64" s="31"/>
      <c r="AF64" s="31"/>
      <c r="AG64" s="19"/>
      <c r="AL64" s="19">
        <f t="shared" si="8"/>
        <v>0</v>
      </c>
    </row>
    <row r="65" spans="1:38" x14ac:dyDescent="0.25">
      <c r="A65" s="31"/>
      <c r="B65" s="87"/>
      <c r="C65" s="87"/>
      <c r="D65" s="87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80"/>
      <c r="X65" s="80"/>
      <c r="Y65" s="80"/>
      <c r="Z65" s="80"/>
      <c r="AA65" s="80"/>
      <c r="AB65" s="31"/>
      <c r="AC65" s="31"/>
      <c r="AD65" s="31"/>
      <c r="AE65" s="31"/>
      <c r="AF65" s="31"/>
      <c r="AG65" s="19"/>
    </row>
    <row r="66" spans="1:38" x14ac:dyDescent="0.25">
      <c r="A66" s="30"/>
      <c r="B66" s="34"/>
      <c r="C66" s="34"/>
      <c r="D66" s="34"/>
      <c r="E66" s="30"/>
      <c r="F66" s="30"/>
      <c r="G66" s="30"/>
      <c r="H66" s="30"/>
      <c r="I66" s="30"/>
      <c r="J66" s="30"/>
      <c r="K66" s="30"/>
      <c r="L66" s="30"/>
      <c r="M66" s="30"/>
      <c r="N66" s="31"/>
      <c r="O66" s="31"/>
      <c r="P66" s="31"/>
      <c r="Q66" s="31"/>
      <c r="R66" s="31"/>
      <c r="S66" s="31"/>
      <c r="T66" s="31"/>
      <c r="U66" s="31"/>
      <c r="V66" s="31"/>
      <c r="W66" s="80"/>
      <c r="X66" s="80"/>
      <c r="Y66" s="80"/>
      <c r="Z66" s="80"/>
      <c r="AA66" s="80"/>
      <c r="AB66" s="31"/>
      <c r="AC66" s="31"/>
      <c r="AD66" s="31"/>
      <c r="AE66" s="31"/>
      <c r="AF66" s="31"/>
      <c r="AG66" s="19"/>
    </row>
    <row r="67" spans="1:38" x14ac:dyDescent="0.25">
      <c r="A67" s="31"/>
      <c r="B67" s="87"/>
      <c r="C67" s="87"/>
      <c r="D67" s="87"/>
      <c r="E67" s="31"/>
      <c r="F67" s="31"/>
      <c r="G67" s="31"/>
      <c r="H67" s="31"/>
      <c r="I67" s="31"/>
      <c r="J67" s="31"/>
      <c r="K67" s="31"/>
      <c r="L67" s="31"/>
      <c r="M67" s="31"/>
      <c r="N67" s="97"/>
      <c r="O67" s="97"/>
      <c r="P67" s="31"/>
      <c r="Q67" s="31"/>
      <c r="R67" s="31"/>
      <c r="S67" s="31"/>
      <c r="T67" s="31"/>
      <c r="U67" s="31"/>
      <c r="V67" s="31"/>
      <c r="W67" s="80"/>
      <c r="X67" s="80"/>
      <c r="Y67" s="80"/>
      <c r="Z67" s="80"/>
      <c r="AA67" s="80"/>
      <c r="AB67" s="31"/>
      <c r="AC67" s="31"/>
      <c r="AD67" s="31"/>
      <c r="AE67" s="31"/>
      <c r="AF67" s="31"/>
      <c r="AG67" s="19"/>
    </row>
    <row r="68" spans="1:38" x14ac:dyDescent="0.25">
      <c r="A68" s="877" t="s">
        <v>0</v>
      </c>
      <c r="B68" s="878"/>
      <c r="C68" s="878"/>
      <c r="D68" s="878"/>
      <c r="E68" s="878"/>
      <c r="F68" s="878"/>
      <c r="G68" s="878"/>
      <c r="H68" s="878"/>
      <c r="I68" s="878"/>
      <c r="J68" s="878"/>
      <c r="K68" s="878"/>
      <c r="L68" s="878"/>
      <c r="M68" s="878"/>
      <c r="N68" s="878"/>
      <c r="O68" s="878"/>
      <c r="P68" s="31"/>
      <c r="Q68" s="31"/>
      <c r="R68" s="99" t="s">
        <v>42</v>
      </c>
      <c r="S68" s="31"/>
      <c r="T68" s="31"/>
      <c r="U68" s="31"/>
      <c r="V68" s="31"/>
      <c r="W68" s="80"/>
      <c r="X68" s="80"/>
      <c r="Y68" s="80"/>
      <c r="Z68" s="80"/>
      <c r="AA68" s="80"/>
      <c r="AB68" s="31"/>
      <c r="AC68" s="31"/>
      <c r="AD68" s="31"/>
      <c r="AE68" s="31"/>
      <c r="AF68" s="31"/>
      <c r="AG68" s="19"/>
    </row>
    <row r="69" spans="1:38" x14ac:dyDescent="0.25">
      <c r="A69" s="877" t="s">
        <v>137</v>
      </c>
      <c r="B69" s="878"/>
      <c r="C69" s="878"/>
      <c r="D69" s="878"/>
      <c r="E69" s="878"/>
      <c r="F69" s="878"/>
      <c r="G69" s="878"/>
      <c r="H69" s="878"/>
      <c r="I69" s="878"/>
      <c r="J69" s="878"/>
      <c r="K69" s="878"/>
      <c r="L69" s="878"/>
      <c r="M69" s="878"/>
      <c r="N69" s="878"/>
      <c r="O69" s="878"/>
      <c r="P69" s="31"/>
      <c r="Q69" s="31"/>
      <c r="R69" s="84" t="s">
        <v>45</v>
      </c>
      <c r="S69" s="31"/>
      <c r="T69" s="31"/>
      <c r="U69" s="31"/>
      <c r="V69" s="31"/>
      <c r="W69" s="80"/>
      <c r="X69" s="80"/>
      <c r="Y69" s="80"/>
      <c r="Z69" s="80"/>
      <c r="AA69" s="80"/>
      <c r="AB69" s="31"/>
      <c r="AC69" s="31"/>
      <c r="AD69" s="31"/>
      <c r="AE69" s="31"/>
      <c r="AF69" s="31"/>
      <c r="AG69" s="19"/>
    </row>
    <row r="70" spans="1:38" x14ac:dyDescent="0.25">
      <c r="A70" s="98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31"/>
      <c r="Q70" s="31"/>
      <c r="R70" s="80" t="s">
        <v>118</v>
      </c>
      <c r="S70" s="31"/>
      <c r="T70" s="31"/>
      <c r="U70" s="31"/>
      <c r="V70" s="31"/>
      <c r="W70" s="80"/>
      <c r="X70" s="80"/>
      <c r="Y70" s="80"/>
      <c r="Z70" s="80"/>
      <c r="AA70" s="80"/>
      <c r="AB70" s="31"/>
      <c r="AC70" s="31"/>
      <c r="AD70" s="31"/>
      <c r="AE70" s="31"/>
      <c r="AF70" s="31"/>
      <c r="AG70" s="19"/>
    </row>
    <row r="71" spans="1:38" x14ac:dyDescent="0.25">
      <c r="A71" s="31"/>
      <c r="B71" s="87"/>
      <c r="C71" s="87" t="s">
        <v>6</v>
      </c>
      <c r="D71" s="87"/>
      <c r="E71" s="31"/>
      <c r="F71" s="31"/>
      <c r="G71" s="863" t="str">
        <f>IF(totalyrs&gt;1,IF(E5=0,"",E5),"")</f>
        <v/>
      </c>
      <c r="H71" s="863"/>
      <c r="I71" s="863"/>
      <c r="J71" s="863"/>
      <c r="K71" s="863"/>
      <c r="L71" s="863"/>
      <c r="M71" s="31"/>
      <c r="N71" s="31"/>
      <c r="O71" s="31"/>
      <c r="P71" s="31"/>
      <c r="Q71" s="31"/>
      <c r="R71" s="80" t="s">
        <v>47</v>
      </c>
      <c r="S71" s="31"/>
      <c r="T71" s="31"/>
      <c r="U71" s="31"/>
      <c r="V71" s="31"/>
      <c r="W71" s="80"/>
      <c r="X71" s="80"/>
      <c r="Y71" s="80"/>
      <c r="Z71" s="80"/>
      <c r="AA71" s="80"/>
      <c r="AB71" s="31"/>
      <c r="AC71" s="31"/>
      <c r="AD71" s="31"/>
      <c r="AE71" s="31"/>
      <c r="AF71" s="31"/>
      <c r="AG71" s="19"/>
    </row>
    <row r="72" spans="1:38" x14ac:dyDescent="0.25">
      <c r="A72" s="31"/>
      <c r="B72" s="87"/>
      <c r="C72" s="87" t="s">
        <v>8</v>
      </c>
      <c r="D72" s="87"/>
      <c r="E72" s="31"/>
      <c r="F72" s="31"/>
      <c r="G72" s="863" t="str">
        <f>IF(totalyrs&gt;1,IF(E6=0,"",E6),"")</f>
        <v/>
      </c>
      <c r="H72" s="863"/>
      <c r="I72" s="863"/>
      <c r="J72" s="863"/>
      <c r="K72" s="863"/>
      <c r="L72" s="863"/>
      <c r="M72" s="31"/>
      <c r="N72" s="31"/>
      <c r="O72" s="31"/>
      <c r="P72" s="31"/>
      <c r="Q72" s="31"/>
      <c r="R72" s="119">
        <f>IF(AND(totalyrs&gt;1,totalyrs&lt;2),totalyrs-1,1)</f>
        <v>1</v>
      </c>
      <c r="S72" s="120" t="s">
        <v>48</v>
      </c>
      <c r="T72" s="31"/>
      <c r="U72" s="31"/>
      <c r="V72" s="31"/>
      <c r="W72" s="80"/>
      <c r="X72" s="80"/>
      <c r="Y72" s="80"/>
      <c r="Z72" s="80"/>
      <c r="AA72" s="80"/>
      <c r="AB72" s="31"/>
      <c r="AC72" s="31"/>
      <c r="AD72" s="31"/>
      <c r="AE72" s="31"/>
      <c r="AF72" s="31"/>
      <c r="AG72" s="19"/>
    </row>
    <row r="73" spans="1:38" x14ac:dyDescent="0.25">
      <c r="A73" s="31"/>
      <c r="B73" s="87"/>
      <c r="C73" s="87" t="s">
        <v>122</v>
      </c>
      <c r="D73" s="87"/>
      <c r="E73" s="31"/>
      <c r="F73" s="31"/>
      <c r="G73" s="863" t="str">
        <f>IF(totalyrs&gt;1,IF(E7=0,"",E7),"")</f>
        <v/>
      </c>
      <c r="H73" s="863"/>
      <c r="I73" s="863"/>
      <c r="J73" s="863"/>
      <c r="K73" s="863"/>
      <c r="L73" s="863"/>
      <c r="M73" s="31"/>
      <c r="N73" s="31"/>
      <c r="O73" s="31"/>
      <c r="P73" s="31"/>
      <c r="Q73" s="31"/>
      <c r="R73" s="119">
        <f>IF(AND(totalyrs&gt;2,totalyrs&lt;3),totalyrs-2,1)</f>
        <v>1</v>
      </c>
      <c r="S73" s="120" t="s">
        <v>49</v>
      </c>
      <c r="T73" s="31"/>
      <c r="U73" s="31"/>
      <c r="V73" s="31"/>
      <c r="W73" s="80"/>
      <c r="X73" s="80"/>
      <c r="Y73" s="80"/>
      <c r="Z73" s="80"/>
      <c r="AA73" s="80"/>
      <c r="AB73" s="31"/>
      <c r="AC73" s="31"/>
      <c r="AD73" s="31"/>
      <c r="AE73" s="31"/>
      <c r="AF73" s="31"/>
      <c r="AG73" s="19"/>
    </row>
    <row r="74" spans="1:38" x14ac:dyDescent="0.25">
      <c r="A74" s="31"/>
      <c r="B74" s="87"/>
      <c r="C74" s="87" t="s">
        <v>10</v>
      </c>
      <c r="D74" s="87"/>
      <c r="E74" s="31"/>
      <c r="F74" s="31"/>
      <c r="G74" s="863" t="str">
        <f>IF(totalyrs&gt;1,IF(E8=0,"",E8),"")</f>
        <v/>
      </c>
      <c r="H74" s="863"/>
      <c r="I74" s="863"/>
      <c r="J74" s="863"/>
      <c r="K74" s="863"/>
      <c r="L74" s="863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80"/>
      <c r="X74" s="80"/>
      <c r="Y74" s="80"/>
      <c r="Z74" s="80"/>
      <c r="AA74" s="80"/>
      <c r="AB74" s="31"/>
      <c r="AC74" s="31"/>
      <c r="AD74" s="31"/>
      <c r="AE74" s="31"/>
      <c r="AF74" s="31"/>
      <c r="AG74" s="19"/>
    </row>
    <row r="75" spans="1:38" x14ac:dyDescent="0.25">
      <c r="A75" s="31"/>
      <c r="B75" s="87"/>
      <c r="C75" s="87"/>
      <c r="D75" s="87"/>
      <c r="E75" s="31"/>
      <c r="F75" s="31"/>
      <c r="G75" s="31"/>
      <c r="H75" s="31"/>
      <c r="I75" s="31"/>
      <c r="J75" s="30"/>
      <c r="K75" s="31"/>
      <c r="L75" s="31"/>
      <c r="M75" s="31"/>
      <c r="N75" s="31"/>
      <c r="O75" s="31"/>
      <c r="P75" s="80"/>
      <c r="Q75" s="80"/>
      <c r="S75" s="403" t="s">
        <v>43</v>
      </c>
      <c r="T75" s="403" t="s">
        <v>44</v>
      </c>
      <c r="U75" s="426"/>
      <c r="V75" s="99"/>
      <c r="W75" s="99"/>
      <c r="X75" s="99"/>
      <c r="Y75" s="99"/>
      <c r="Z75" s="99"/>
      <c r="AA75" s="99"/>
      <c r="AB75" s="99"/>
      <c r="AC75" s="99"/>
      <c r="AD75" s="99"/>
      <c r="AE75" s="31"/>
      <c r="AF75" s="31"/>
      <c r="AG75" s="19"/>
    </row>
    <row r="76" spans="1:38" x14ac:dyDescent="0.25">
      <c r="A76" s="100"/>
      <c r="B76" s="305" t="s">
        <v>209</v>
      </c>
      <c r="C76" s="830" t="s">
        <v>43</v>
      </c>
      <c r="D76" s="831"/>
      <c r="E76" s="832"/>
      <c r="F76" s="832"/>
      <c r="G76" s="832"/>
      <c r="H76" s="104" t="s">
        <v>109</v>
      </c>
      <c r="I76" s="298" t="s">
        <v>28</v>
      </c>
      <c r="J76" s="284"/>
      <c r="K76" s="309" t="s">
        <v>209</v>
      </c>
      <c r="L76" s="102" t="s">
        <v>44</v>
      </c>
      <c r="M76" s="103"/>
      <c r="N76" s="103"/>
      <c r="O76" s="103"/>
      <c r="P76" s="285" t="s">
        <v>109</v>
      </c>
      <c r="Q76" s="299" t="s">
        <v>28</v>
      </c>
      <c r="S76" s="407" t="s">
        <v>276</v>
      </c>
      <c r="T76" s="407" t="s">
        <v>276</v>
      </c>
      <c r="U76" s="426"/>
      <c r="V76" s="84"/>
      <c r="W76" s="84"/>
      <c r="X76" s="84"/>
      <c r="Y76" s="84"/>
      <c r="Z76" s="84"/>
      <c r="AA76" s="84"/>
      <c r="AB76" s="84"/>
      <c r="AC76" s="84"/>
      <c r="AD76" s="84"/>
      <c r="AE76" s="31"/>
      <c r="AF76" s="31"/>
      <c r="AG76" s="19"/>
    </row>
    <row r="77" spans="1:38" ht="13" x14ac:dyDescent="0.3">
      <c r="A77" s="300" t="s">
        <v>226</v>
      </c>
      <c r="B77" s="301" t="s">
        <v>131</v>
      </c>
      <c r="C77" s="821" t="s">
        <v>29</v>
      </c>
      <c r="D77" s="822"/>
      <c r="E77" s="299"/>
      <c r="F77" s="299" t="s">
        <v>228</v>
      </c>
      <c r="G77" s="295"/>
      <c r="H77" s="80" t="s">
        <v>110</v>
      </c>
      <c r="I77" s="293" t="s">
        <v>132</v>
      </c>
      <c r="J77" s="306" t="s">
        <v>226</v>
      </c>
      <c r="K77" s="295" t="s">
        <v>131</v>
      </c>
      <c r="L77" s="301" t="str">
        <f>C77</f>
        <v>Salary</v>
      </c>
      <c r="M77" s="299"/>
      <c r="N77" s="295" t="s">
        <v>228</v>
      </c>
      <c r="O77" s="295"/>
      <c r="P77" s="107" t="s">
        <v>110</v>
      </c>
      <c r="Q77" s="299" t="s">
        <v>132</v>
      </c>
      <c r="S77" s="407" t="s">
        <v>316</v>
      </c>
      <c r="T77" s="407" t="s">
        <v>316</v>
      </c>
      <c r="U77" s="426"/>
      <c r="V77" s="80"/>
      <c r="W77" s="80"/>
      <c r="X77" s="80"/>
      <c r="Y77" s="80"/>
      <c r="Z77" s="80"/>
      <c r="AA77" s="80"/>
      <c r="AB77" s="80"/>
      <c r="AC77" s="80"/>
      <c r="AD77" s="80"/>
      <c r="AE77" s="31"/>
      <c r="AF77" s="31"/>
      <c r="AG77" s="19"/>
    </row>
    <row r="78" spans="1:38" ht="13" x14ac:dyDescent="0.3">
      <c r="A78" s="302" t="s">
        <v>225</v>
      </c>
      <c r="B78" s="303" t="s">
        <v>224</v>
      </c>
      <c r="C78" s="847" t="s">
        <v>34</v>
      </c>
      <c r="D78" s="848"/>
      <c r="E78" s="296" t="s">
        <v>30</v>
      </c>
      <c r="F78" s="296" t="s">
        <v>229</v>
      </c>
      <c r="G78" s="296" t="s">
        <v>24</v>
      </c>
      <c r="H78" s="287" t="s">
        <v>33</v>
      </c>
      <c r="I78" s="294" t="s">
        <v>43</v>
      </c>
      <c r="J78" s="307" t="s">
        <v>225</v>
      </c>
      <c r="K78" s="295" t="s">
        <v>224</v>
      </c>
      <c r="L78" s="308" t="str">
        <f>C78</f>
        <v>Requested</v>
      </c>
      <c r="M78" s="296" t="str">
        <f>E78</f>
        <v>Benefits</v>
      </c>
      <c r="N78" s="296" t="s">
        <v>229</v>
      </c>
      <c r="O78" s="296" t="s">
        <v>24</v>
      </c>
      <c r="P78" s="286" t="s">
        <v>33</v>
      </c>
      <c r="Q78" s="298" t="s">
        <v>44</v>
      </c>
      <c r="S78" s="408" t="s">
        <v>301</v>
      </c>
      <c r="T78" s="408" t="s">
        <v>301</v>
      </c>
      <c r="U78" s="426"/>
      <c r="V78" s="80"/>
      <c r="W78" s="80"/>
      <c r="X78" s="80"/>
      <c r="Y78" s="80"/>
      <c r="Z78" s="80"/>
      <c r="AA78" s="80"/>
      <c r="AB78" s="80"/>
      <c r="AC78" s="80"/>
      <c r="AD78" s="80"/>
      <c r="AE78" s="31"/>
      <c r="AF78" s="31"/>
      <c r="AG78" s="19"/>
    </row>
    <row r="79" spans="1:38" ht="12.75" customHeight="1" x14ac:dyDescent="0.25">
      <c r="A79" s="148" t="str">
        <f t="shared" ref="A79:A118" si="18">IF(A24=0,"",A24)</f>
        <v/>
      </c>
      <c r="B79" s="149" t="str">
        <f t="shared" ref="B79:B118" si="19">IFERROR(IF(ROUND(IF(totalyrs&gt;1,((J24*(1+INCREASE))),0),0)=0,"",ROUND(IF(totalyrs&gt;1,((J24*(1+INCREASE))),0),0)),"")</f>
        <v/>
      </c>
      <c r="C79" s="825" t="str">
        <f t="shared" ref="C79:C118" si="20">IFERROR(IF(ROUND(IF(totalyrs&gt;1,IF(SALCAPAPPLIES="X",(IF($G24*(1+INCREASE)&gt;MAXSAL,(IF(AND(totalyrs&lt;2,MOD(NUMMONTHS,12)&gt;0),((MAXSAL*I79)/12)*MOD(NUMMONTHS,12),MAXSAL*I79)),($G24*I79*yr2percent*(1+INCREASE)))),($G24*I79*yr2percent*(1+INCREASE))),0),0)=0,"",ROUND(IF(totalyrs&gt;1,IF(SALCAPAPPLIES="X",(IF($G24*(1+INCREASE)&gt;MAXSAL,(IF(AND(totalyrs&lt;2,MOD(NUMMONTHS,12)&gt;0),((MAXSAL*I79)/12)*MOD(NUMMONTHS,12),MAXSAL*I79)),($G24*I79*yr2percent*(1+INCREASE)))),($G24*I79*yr2percent*(1+INCREASE))),0),0)),"")</f>
        <v/>
      </c>
      <c r="D79" s="826"/>
      <c r="E79" s="115" t="str">
        <f t="shared" ref="E79:E118" si="21">IFERROR(IF(IF(H79=0,0,ROUND(IF(P24="G",(C79*L24)+(R24*1.05),IF(Q24&gt;0,C79*L24,C79*(Year1Weight*VLOOKUP(P24,FringeTable,3,FALSE)+Year2Weight*VLOOKUP(P24,FringeTable,4,FALSE)+Year3Weight*VLOOKUP(P24,FringeTable,5,FALSE)))),0))=0,"",IF(H79=0,0,ROUND(IF(P24="G",(C79*L24)+(R24*1.05),IF(Q24&gt;0,C79*L24,C79*(Year1Weight*VLOOKUP(P24,FringeTable,3,FALSE)+Year2Weight*VLOOKUP(P24,FringeTable,4,FALSE)+Year3Weight*VLOOKUP(P24,FringeTable,5,FALSE)))),0))),"")</f>
        <v/>
      </c>
      <c r="F79" s="266" t="str">
        <f t="shared" ref="F79:F118" si="22">IFERROR(IF(SUM(H79*D24)*C24=0,"",SUM(H79*D24)*C24),"")</f>
        <v/>
      </c>
      <c r="G79" s="116" t="str">
        <f t="shared" ref="G79:G118" si="23">IFERROR(C79+E79,"")</f>
        <v/>
      </c>
      <c r="H79" s="288" t="str">
        <f t="shared" ref="H79:H118" si="24">IF(IF(totalyrs&gt;1,(H24),0)=0,"",IF(totalyrs&gt;1,(H24),0))</f>
        <v/>
      </c>
      <c r="I79" s="469" t="str">
        <f t="shared" ref="I79:I118" si="25">IFERROR(H79*D24/12*C24,"")</f>
        <v/>
      </c>
      <c r="J79" s="283" t="str">
        <f t="shared" ref="J79:J118" si="26">IF(totalyrs&gt;2,IF(A24=0,"",A24),"")</f>
        <v/>
      </c>
      <c r="K79" s="265" t="str">
        <f t="shared" ref="K79:K118" si="27">IFERROR(IF(ROUND(IF(totalyrs&gt;2,((J24*(1+INCREASE)^2)),0),0)=0,"",ROUND(IF(totalyrs&gt;2,((J24*(1+INCREASE)^2)),0),0)),"")</f>
        <v/>
      </c>
      <c r="L79" s="117" t="str">
        <f t="shared" ref="L79:L118" si="28">IFERROR(IF(ROUND(IF(totalyrs&gt;2,IF(SALCAPAPPLIES="X",(IF($G24*(1+INCREASE)^2&gt;MAXSAL,(IF(AND(totalyrs&lt;3,MOD(NUMMONTHS,12)&gt;0),((MAXSAL*Q79)/12)*MOD(NUMMONTHS,12),MAXSAL*Q79)),($G24*Q79*yr3percent*(1+INCREASE)^2))),($G24*Q79*yr3percent*(1+INCREASE)^2)),0),0)=0,"",ROUND(IF(totalyrs&gt;2,IF(SALCAPAPPLIES="X",(IF($G24*(1+INCREASE)^2&gt;MAXSAL,(IF(AND(totalyrs&lt;3,MOD(NUMMONTHS,12)&gt;0),((MAXSAL*Q79)/12)*MOD(NUMMONTHS,12),MAXSAL*Q79)),($G24*Q79*yr3percent*(1+INCREASE)^2))),($G24*Q79*yr3percent*(1+INCREASE)^2)),0),0)),"")</f>
        <v/>
      </c>
      <c r="M79" s="118" t="str">
        <f t="shared" ref="M79:M118" si="29">IFERROR(IF(IF(P79=0,0,ROUND(IF(P24="G",(L79*L24)+(R24*1.1),IF(Q24&gt;0,L79*L24,L79*(Year1Weight*VLOOKUP(P24,FringeTable,4,FALSE)+Year2Weight*VLOOKUP(P24,FringeTable,5,FALSE)+Year3Weight*VLOOKUP(P24,FringeTable,6,FALSE)))),0))=0,"",IF(P79=0,0,ROUND(IF(P24="G",(L79*L24)+(R24*1.1),IF(Q24&gt;0,L79*L24,L79*(Year1Weight*VLOOKUP(P24,FringeTable,4,FALSE)+Year2Weight*VLOOKUP(P24,FringeTable,5,FALSE)+Year3Weight*VLOOKUP(P24,FringeTable,6,FALSE)))),0))),"")</f>
        <v/>
      </c>
      <c r="N79" s="266" t="str">
        <f t="shared" ref="N79:N118" si="30">IFERROR(IF(SUM(P79*D24)*C24=0,"",SUM(P79*D24)*C24),"")</f>
        <v/>
      </c>
      <c r="O79" s="118" t="str">
        <f t="shared" ref="O79:O118" si="31">IFERROR(L79+M79,"")</f>
        <v/>
      </c>
      <c r="P79" s="184" t="str">
        <f t="shared" ref="P79:P118" si="32">IF(IF(totalyrs&gt;2, (H79),0)=0,"",IF(totalyrs&gt;2, (H79),0))</f>
        <v/>
      </c>
      <c r="Q79" s="317" t="str">
        <f t="shared" ref="Q79:Q118" si="33">IFERROR(P79*D24/12*C24,"")</f>
        <v/>
      </c>
      <c r="S79" s="396">
        <f>IFERROR(IF((E24*$L$17*(1+$L$16))&gt;$L$18,(((E24*$L$17*(1+$L$16))-$L$18)*H79*(1+L24)),0),"")</f>
        <v>0</v>
      </c>
      <c r="T79" s="396">
        <f>IFERROR(IF((E24*$L$17*(((1+$L$16))^2))&gt;$L$18,(((E24*$L$17*((1+$L$16)^2))-$L$18)*P79*(1+L24)),0),"")</f>
        <v>0</v>
      </c>
      <c r="U79" s="425"/>
      <c r="V79" s="120"/>
      <c r="W79" s="529"/>
      <c r="X79" s="529"/>
      <c r="Y79" s="529"/>
      <c r="Z79" s="529"/>
      <c r="AA79" s="529"/>
      <c r="AB79" s="120"/>
      <c r="AC79" s="120"/>
      <c r="AD79" s="120"/>
      <c r="AK79" s="31"/>
      <c r="AL79" s="31"/>
    </row>
    <row r="80" spans="1:38" ht="12.75" customHeight="1" x14ac:dyDescent="0.25">
      <c r="A80" s="148" t="str">
        <f t="shared" si="18"/>
        <v/>
      </c>
      <c r="B80" s="583" t="str">
        <f t="shared" si="19"/>
        <v/>
      </c>
      <c r="C80" s="825" t="str">
        <f t="shared" si="20"/>
        <v/>
      </c>
      <c r="D80" s="826"/>
      <c r="E80" s="115" t="str">
        <f t="shared" si="21"/>
        <v/>
      </c>
      <c r="F80" s="266" t="str">
        <f t="shared" si="22"/>
        <v/>
      </c>
      <c r="G80" s="116" t="str">
        <f t="shared" si="23"/>
        <v/>
      </c>
      <c r="H80" s="288" t="str">
        <f t="shared" si="24"/>
        <v/>
      </c>
      <c r="I80" s="469" t="str">
        <f t="shared" si="25"/>
        <v/>
      </c>
      <c r="J80" s="648" t="str">
        <f t="shared" si="26"/>
        <v/>
      </c>
      <c r="K80" s="265" t="str">
        <f t="shared" si="27"/>
        <v/>
      </c>
      <c r="L80" s="117" t="str">
        <f t="shared" si="28"/>
        <v/>
      </c>
      <c r="M80" s="118" t="str">
        <f t="shared" si="29"/>
        <v/>
      </c>
      <c r="N80" s="266" t="str">
        <f t="shared" si="30"/>
        <v/>
      </c>
      <c r="O80" s="118" t="str">
        <f t="shared" si="31"/>
        <v/>
      </c>
      <c r="P80" s="184" t="str">
        <f t="shared" si="32"/>
        <v/>
      </c>
      <c r="Q80" s="317" t="str">
        <f t="shared" si="33"/>
        <v/>
      </c>
      <c r="S80" s="396">
        <f t="shared" ref="S80:S118" si="34">IFERROR(IF((E25*$L$17*(1+$L$16))&gt;$L$18,(((E25*$L$17*(1+$L$16))-$L$18)*H80*(1+L25)),0),"")</f>
        <v>0</v>
      </c>
      <c r="T80" s="396">
        <f t="shared" ref="T80:T118" si="35">IFERROR(IF((E25*$L$17*(((1+$L$16))^2))&gt;$L$18,(((E25*$L$17*((1+$L$16)^2))-$L$18)*P80*(1+L25)),0),"")</f>
        <v>0</v>
      </c>
      <c r="U80" s="425"/>
      <c r="V80" s="120"/>
      <c r="W80" s="529"/>
      <c r="X80" s="529"/>
      <c r="Y80" s="529"/>
      <c r="Z80" s="529"/>
      <c r="AA80" s="529"/>
      <c r="AB80" s="120"/>
      <c r="AC80" s="120"/>
      <c r="AD80" s="120"/>
      <c r="AK80" s="31"/>
      <c r="AL80" s="31"/>
    </row>
    <row r="81" spans="1:38" ht="12.65" customHeight="1" x14ac:dyDescent="0.25">
      <c r="A81" s="148" t="str">
        <f t="shared" si="18"/>
        <v/>
      </c>
      <c r="B81" s="583" t="str">
        <f t="shared" si="19"/>
        <v/>
      </c>
      <c r="C81" s="825" t="str">
        <f t="shared" si="20"/>
        <v/>
      </c>
      <c r="D81" s="826"/>
      <c r="E81" s="115" t="str">
        <f t="shared" si="21"/>
        <v/>
      </c>
      <c r="F81" s="266" t="str">
        <f t="shared" si="22"/>
        <v/>
      </c>
      <c r="G81" s="116" t="str">
        <f t="shared" si="23"/>
        <v/>
      </c>
      <c r="H81" s="288" t="str">
        <f t="shared" si="24"/>
        <v/>
      </c>
      <c r="I81" s="469" t="str">
        <f t="shared" si="25"/>
        <v/>
      </c>
      <c r="J81" s="648" t="str">
        <f t="shared" si="26"/>
        <v/>
      </c>
      <c r="K81" s="265" t="str">
        <f t="shared" si="27"/>
        <v/>
      </c>
      <c r="L81" s="117" t="str">
        <f t="shared" si="28"/>
        <v/>
      </c>
      <c r="M81" s="118" t="str">
        <f t="shared" si="29"/>
        <v/>
      </c>
      <c r="N81" s="266" t="str">
        <f t="shared" si="30"/>
        <v/>
      </c>
      <c r="O81" s="118" t="str">
        <f t="shared" si="31"/>
        <v/>
      </c>
      <c r="P81" s="184" t="str">
        <f t="shared" si="32"/>
        <v/>
      </c>
      <c r="Q81" s="317" t="str">
        <f t="shared" si="33"/>
        <v/>
      </c>
      <c r="R81" s="80"/>
      <c r="S81" s="396">
        <f t="shared" si="34"/>
        <v>0</v>
      </c>
      <c r="T81" s="396">
        <f t="shared" si="35"/>
        <v>0</v>
      </c>
      <c r="U81" s="425"/>
      <c r="V81" s="80"/>
      <c r="W81" s="80"/>
      <c r="X81" s="80"/>
      <c r="Y81" s="80"/>
      <c r="Z81" s="80"/>
      <c r="AA81" s="80"/>
      <c r="AB81" s="80"/>
      <c r="AC81" s="80"/>
      <c r="AD81" s="80"/>
      <c r="AE81" s="31"/>
      <c r="AK81" s="31"/>
      <c r="AL81" s="31"/>
    </row>
    <row r="82" spans="1:38" ht="12.75" customHeight="1" x14ac:dyDescent="0.25">
      <c r="A82" s="148" t="str">
        <f t="shared" si="18"/>
        <v/>
      </c>
      <c r="B82" s="583" t="str">
        <f t="shared" si="19"/>
        <v/>
      </c>
      <c r="C82" s="825" t="str">
        <f t="shared" si="20"/>
        <v/>
      </c>
      <c r="D82" s="826"/>
      <c r="E82" s="115" t="str">
        <f t="shared" si="21"/>
        <v/>
      </c>
      <c r="F82" s="266" t="str">
        <f t="shared" si="22"/>
        <v/>
      </c>
      <c r="G82" s="116" t="str">
        <f t="shared" si="23"/>
        <v/>
      </c>
      <c r="H82" s="288" t="str">
        <f t="shared" si="24"/>
        <v/>
      </c>
      <c r="I82" s="469" t="str">
        <f t="shared" si="25"/>
        <v/>
      </c>
      <c r="J82" s="648" t="str">
        <f t="shared" si="26"/>
        <v/>
      </c>
      <c r="K82" s="265" t="str">
        <f t="shared" si="27"/>
        <v/>
      </c>
      <c r="L82" s="117" t="str">
        <f t="shared" si="28"/>
        <v/>
      </c>
      <c r="M82" s="118" t="str">
        <f t="shared" si="29"/>
        <v/>
      </c>
      <c r="N82" s="266" t="str">
        <f t="shared" si="30"/>
        <v/>
      </c>
      <c r="O82" s="118" t="str">
        <f t="shared" si="31"/>
        <v/>
      </c>
      <c r="P82" s="184" t="str">
        <f t="shared" si="32"/>
        <v/>
      </c>
      <c r="Q82" s="317" t="str">
        <f t="shared" si="33"/>
        <v/>
      </c>
      <c r="R82" s="80"/>
      <c r="S82" s="396">
        <f t="shared" si="34"/>
        <v>0</v>
      </c>
      <c r="T82" s="396">
        <f t="shared" si="35"/>
        <v>0</v>
      </c>
      <c r="U82" s="425"/>
      <c r="V82" s="80"/>
      <c r="W82" s="80"/>
      <c r="X82" s="80"/>
      <c r="Y82" s="80"/>
      <c r="Z82" s="80"/>
      <c r="AA82" s="80"/>
      <c r="AB82" s="80"/>
      <c r="AC82" s="80"/>
      <c r="AD82" s="80"/>
      <c r="AE82" s="31"/>
      <c r="AK82" s="31"/>
      <c r="AL82" s="31"/>
    </row>
    <row r="83" spans="1:38" ht="12.75" customHeight="1" x14ac:dyDescent="0.25">
      <c r="A83" s="148" t="str">
        <f t="shared" ref="A83:A89" si="36">IF(A28=0,"",A28)</f>
        <v/>
      </c>
      <c r="B83" s="583" t="str">
        <f t="shared" si="19"/>
        <v/>
      </c>
      <c r="C83" s="825" t="str">
        <f t="shared" si="20"/>
        <v/>
      </c>
      <c r="D83" s="826"/>
      <c r="E83" s="115" t="str">
        <f t="shared" si="21"/>
        <v/>
      </c>
      <c r="F83" s="266" t="str">
        <f t="shared" si="22"/>
        <v/>
      </c>
      <c r="G83" s="116" t="str">
        <f t="shared" si="23"/>
        <v/>
      </c>
      <c r="H83" s="288" t="str">
        <f t="shared" si="24"/>
        <v/>
      </c>
      <c r="I83" s="469" t="str">
        <f t="shared" si="25"/>
        <v/>
      </c>
      <c r="J83" s="648" t="str">
        <f t="shared" ref="J83:J89" si="37">IF(totalyrs&gt;2,IF(A28=0,"",A28),"")</f>
        <v/>
      </c>
      <c r="K83" s="265" t="str">
        <f t="shared" si="27"/>
        <v/>
      </c>
      <c r="L83" s="117" t="str">
        <f t="shared" si="28"/>
        <v/>
      </c>
      <c r="M83" s="118" t="str">
        <f t="shared" si="29"/>
        <v/>
      </c>
      <c r="N83" s="266" t="str">
        <f t="shared" si="30"/>
        <v/>
      </c>
      <c r="O83" s="118" t="str">
        <f t="shared" si="31"/>
        <v/>
      </c>
      <c r="P83" s="184" t="str">
        <f t="shared" si="32"/>
        <v/>
      </c>
      <c r="Q83" s="317" t="str">
        <f t="shared" si="33"/>
        <v/>
      </c>
      <c r="R83" s="80"/>
      <c r="S83" s="396">
        <f t="shared" si="34"/>
        <v>0</v>
      </c>
      <c r="T83" s="396">
        <f t="shared" si="35"/>
        <v>0</v>
      </c>
      <c r="U83" s="425"/>
      <c r="V83" s="80"/>
      <c r="W83" s="80"/>
      <c r="X83" s="80"/>
      <c r="Y83" s="80"/>
      <c r="Z83" s="80"/>
      <c r="AA83" s="80"/>
      <c r="AB83" s="80"/>
      <c r="AC83" s="80"/>
      <c r="AD83" s="80"/>
      <c r="AE83" s="31"/>
      <c r="AK83" s="31"/>
      <c r="AL83" s="31"/>
    </row>
    <row r="84" spans="1:38" ht="12.75" customHeight="1" x14ac:dyDescent="0.25">
      <c r="A84" s="148" t="str">
        <f t="shared" si="36"/>
        <v/>
      </c>
      <c r="B84" s="583" t="str">
        <f t="shared" si="19"/>
        <v/>
      </c>
      <c r="C84" s="825" t="str">
        <f t="shared" si="20"/>
        <v/>
      </c>
      <c r="D84" s="826"/>
      <c r="E84" s="115" t="str">
        <f t="shared" si="21"/>
        <v/>
      </c>
      <c r="F84" s="266" t="str">
        <f t="shared" si="22"/>
        <v/>
      </c>
      <c r="G84" s="116" t="str">
        <f t="shared" si="23"/>
        <v/>
      </c>
      <c r="H84" s="288" t="str">
        <f t="shared" si="24"/>
        <v/>
      </c>
      <c r="I84" s="469" t="str">
        <f t="shared" si="25"/>
        <v/>
      </c>
      <c r="J84" s="648" t="str">
        <f t="shared" si="37"/>
        <v/>
      </c>
      <c r="K84" s="265" t="str">
        <f t="shared" si="27"/>
        <v/>
      </c>
      <c r="L84" s="117" t="str">
        <f t="shared" si="28"/>
        <v/>
      </c>
      <c r="M84" s="118" t="str">
        <f t="shared" si="29"/>
        <v/>
      </c>
      <c r="N84" s="266" t="str">
        <f t="shared" si="30"/>
        <v/>
      </c>
      <c r="O84" s="118" t="str">
        <f t="shared" si="31"/>
        <v/>
      </c>
      <c r="P84" s="184" t="str">
        <f t="shared" si="32"/>
        <v/>
      </c>
      <c r="Q84" s="317" t="str">
        <f t="shared" si="33"/>
        <v/>
      </c>
      <c r="R84" s="80"/>
      <c r="S84" s="396">
        <f t="shared" si="34"/>
        <v>0</v>
      </c>
      <c r="T84" s="396">
        <f t="shared" si="35"/>
        <v>0</v>
      </c>
      <c r="U84" s="425"/>
      <c r="V84" s="80"/>
      <c r="W84" s="80"/>
      <c r="X84" s="80"/>
      <c r="Y84" s="80"/>
      <c r="Z84" s="80"/>
      <c r="AA84" s="80"/>
      <c r="AB84" s="80"/>
      <c r="AC84" s="80"/>
      <c r="AD84" s="80"/>
      <c r="AE84" s="31"/>
      <c r="AK84" s="31"/>
      <c r="AL84" s="31"/>
    </row>
    <row r="85" spans="1:38" ht="12.75" customHeight="1" x14ac:dyDescent="0.25">
      <c r="A85" s="148" t="str">
        <f t="shared" si="36"/>
        <v/>
      </c>
      <c r="B85" s="583" t="str">
        <f t="shared" si="19"/>
        <v/>
      </c>
      <c r="C85" s="825" t="str">
        <f t="shared" si="20"/>
        <v/>
      </c>
      <c r="D85" s="826"/>
      <c r="E85" s="115" t="str">
        <f t="shared" si="21"/>
        <v/>
      </c>
      <c r="F85" s="266" t="str">
        <f t="shared" si="22"/>
        <v/>
      </c>
      <c r="G85" s="116" t="str">
        <f t="shared" si="23"/>
        <v/>
      </c>
      <c r="H85" s="288" t="str">
        <f t="shared" si="24"/>
        <v/>
      </c>
      <c r="I85" s="469" t="str">
        <f t="shared" si="25"/>
        <v/>
      </c>
      <c r="J85" s="648" t="str">
        <f t="shared" si="37"/>
        <v/>
      </c>
      <c r="K85" s="265" t="str">
        <f t="shared" si="27"/>
        <v/>
      </c>
      <c r="L85" s="117" t="str">
        <f t="shared" si="28"/>
        <v/>
      </c>
      <c r="M85" s="118" t="str">
        <f t="shared" si="29"/>
        <v/>
      </c>
      <c r="N85" s="266" t="str">
        <f t="shared" si="30"/>
        <v/>
      </c>
      <c r="O85" s="118" t="str">
        <f t="shared" si="31"/>
        <v/>
      </c>
      <c r="P85" s="184" t="str">
        <f t="shared" si="32"/>
        <v/>
      </c>
      <c r="Q85" s="317" t="str">
        <f t="shared" si="33"/>
        <v/>
      </c>
      <c r="R85" s="80"/>
      <c r="S85" s="396">
        <f t="shared" si="34"/>
        <v>0</v>
      </c>
      <c r="T85" s="396">
        <f t="shared" si="35"/>
        <v>0</v>
      </c>
      <c r="U85" s="425"/>
      <c r="V85" s="80"/>
      <c r="W85" s="80"/>
      <c r="X85" s="80"/>
      <c r="Y85" s="80"/>
      <c r="Z85" s="80"/>
      <c r="AA85" s="80"/>
      <c r="AB85" s="80"/>
      <c r="AC85" s="80"/>
      <c r="AD85" s="80"/>
      <c r="AE85" s="31"/>
      <c r="AF85" s="137"/>
      <c r="AK85" s="31"/>
      <c r="AL85" s="31"/>
    </row>
    <row r="86" spans="1:38" ht="12.75" customHeight="1" x14ac:dyDescent="0.25">
      <c r="A86" s="148" t="str">
        <f t="shared" si="36"/>
        <v/>
      </c>
      <c r="B86" s="583" t="str">
        <f t="shared" si="19"/>
        <v/>
      </c>
      <c r="C86" s="825" t="str">
        <f t="shared" si="20"/>
        <v/>
      </c>
      <c r="D86" s="826"/>
      <c r="E86" s="115" t="str">
        <f t="shared" si="21"/>
        <v/>
      </c>
      <c r="F86" s="266" t="str">
        <f t="shared" si="22"/>
        <v/>
      </c>
      <c r="G86" s="116" t="str">
        <f t="shared" si="23"/>
        <v/>
      </c>
      <c r="H86" s="288" t="str">
        <f t="shared" si="24"/>
        <v/>
      </c>
      <c r="I86" s="469" t="str">
        <f t="shared" si="25"/>
        <v/>
      </c>
      <c r="J86" s="648" t="str">
        <f t="shared" si="37"/>
        <v/>
      </c>
      <c r="K86" s="265" t="str">
        <f t="shared" si="27"/>
        <v/>
      </c>
      <c r="L86" s="117" t="str">
        <f t="shared" si="28"/>
        <v/>
      </c>
      <c r="M86" s="118" t="str">
        <f t="shared" si="29"/>
        <v/>
      </c>
      <c r="N86" s="266" t="str">
        <f t="shared" si="30"/>
        <v/>
      </c>
      <c r="O86" s="118" t="str">
        <f t="shared" si="31"/>
        <v/>
      </c>
      <c r="P86" s="184" t="str">
        <f t="shared" si="32"/>
        <v/>
      </c>
      <c r="Q86" s="317" t="str">
        <f t="shared" si="33"/>
        <v/>
      </c>
      <c r="R86" s="80"/>
      <c r="S86" s="396">
        <f t="shared" si="34"/>
        <v>0</v>
      </c>
      <c r="T86" s="396">
        <f t="shared" si="35"/>
        <v>0</v>
      </c>
      <c r="U86" s="425"/>
      <c r="V86" s="80"/>
      <c r="W86" s="80"/>
      <c r="X86" s="80"/>
      <c r="Y86" s="80"/>
      <c r="Z86" s="80"/>
      <c r="AA86" s="80"/>
      <c r="AB86" s="80"/>
      <c r="AC86" s="80"/>
      <c r="AD86" s="80"/>
      <c r="AE86" s="31"/>
      <c r="AF86" s="137"/>
      <c r="AK86" s="31"/>
      <c r="AL86" s="31"/>
    </row>
    <row r="87" spans="1:38" ht="12.75" customHeight="1" x14ac:dyDescent="0.25">
      <c r="A87" s="148" t="str">
        <f t="shared" si="36"/>
        <v/>
      </c>
      <c r="B87" s="583" t="str">
        <f t="shared" si="19"/>
        <v/>
      </c>
      <c r="C87" s="825" t="str">
        <f t="shared" si="20"/>
        <v/>
      </c>
      <c r="D87" s="826"/>
      <c r="E87" s="115" t="str">
        <f t="shared" si="21"/>
        <v/>
      </c>
      <c r="F87" s="266" t="str">
        <f t="shared" si="22"/>
        <v/>
      </c>
      <c r="G87" s="116" t="str">
        <f t="shared" si="23"/>
        <v/>
      </c>
      <c r="H87" s="288" t="str">
        <f t="shared" si="24"/>
        <v/>
      </c>
      <c r="I87" s="469" t="str">
        <f t="shared" si="25"/>
        <v/>
      </c>
      <c r="J87" s="648" t="str">
        <f t="shared" si="37"/>
        <v/>
      </c>
      <c r="K87" s="265" t="str">
        <f t="shared" si="27"/>
        <v/>
      </c>
      <c r="L87" s="117" t="str">
        <f t="shared" si="28"/>
        <v/>
      </c>
      <c r="M87" s="118" t="str">
        <f t="shared" si="29"/>
        <v/>
      </c>
      <c r="N87" s="266" t="str">
        <f t="shared" si="30"/>
        <v/>
      </c>
      <c r="O87" s="118" t="str">
        <f t="shared" si="31"/>
        <v/>
      </c>
      <c r="P87" s="184" t="str">
        <f t="shared" si="32"/>
        <v/>
      </c>
      <c r="Q87" s="317" t="str">
        <f t="shared" si="33"/>
        <v/>
      </c>
      <c r="R87" s="80"/>
      <c r="S87" s="396">
        <f t="shared" si="34"/>
        <v>0</v>
      </c>
      <c r="T87" s="396">
        <f t="shared" si="35"/>
        <v>0</v>
      </c>
      <c r="U87" s="425"/>
      <c r="V87" s="80"/>
      <c r="W87" s="80"/>
      <c r="X87" s="80"/>
      <c r="Y87" s="80"/>
      <c r="Z87" s="80"/>
      <c r="AA87" s="80"/>
      <c r="AB87" s="80"/>
      <c r="AC87" s="80"/>
      <c r="AD87" s="80"/>
      <c r="AE87" s="31"/>
      <c r="AK87" s="31"/>
      <c r="AL87" s="31"/>
    </row>
    <row r="88" spans="1:38" ht="12.75" customHeight="1" x14ac:dyDescent="0.25">
      <c r="A88" s="148" t="str">
        <f t="shared" si="36"/>
        <v/>
      </c>
      <c r="B88" s="583" t="str">
        <f t="shared" si="19"/>
        <v/>
      </c>
      <c r="C88" s="825" t="str">
        <f t="shared" si="20"/>
        <v/>
      </c>
      <c r="D88" s="826"/>
      <c r="E88" s="115" t="str">
        <f t="shared" si="21"/>
        <v/>
      </c>
      <c r="F88" s="266" t="str">
        <f t="shared" si="22"/>
        <v/>
      </c>
      <c r="G88" s="116" t="str">
        <f t="shared" si="23"/>
        <v/>
      </c>
      <c r="H88" s="288" t="str">
        <f t="shared" si="24"/>
        <v/>
      </c>
      <c r="I88" s="469" t="str">
        <f t="shared" si="25"/>
        <v/>
      </c>
      <c r="J88" s="648" t="str">
        <f t="shared" si="37"/>
        <v/>
      </c>
      <c r="K88" s="265" t="str">
        <f t="shared" si="27"/>
        <v/>
      </c>
      <c r="L88" s="117" t="str">
        <f t="shared" si="28"/>
        <v/>
      </c>
      <c r="M88" s="118" t="str">
        <f t="shared" si="29"/>
        <v/>
      </c>
      <c r="N88" s="266" t="str">
        <f t="shared" si="30"/>
        <v/>
      </c>
      <c r="O88" s="118" t="str">
        <f t="shared" si="31"/>
        <v/>
      </c>
      <c r="P88" s="184" t="str">
        <f t="shared" si="32"/>
        <v/>
      </c>
      <c r="Q88" s="317" t="str">
        <f t="shared" si="33"/>
        <v/>
      </c>
      <c r="R88" s="80"/>
      <c r="S88" s="396">
        <f t="shared" si="34"/>
        <v>0</v>
      </c>
      <c r="T88" s="396">
        <f t="shared" si="35"/>
        <v>0</v>
      </c>
      <c r="U88" s="425"/>
      <c r="V88" s="80"/>
      <c r="W88" s="80"/>
      <c r="X88" s="80"/>
      <c r="Y88" s="80"/>
      <c r="Z88" s="80"/>
      <c r="AA88" s="80"/>
      <c r="AB88" s="80"/>
      <c r="AC88" s="80"/>
      <c r="AD88" s="80"/>
      <c r="AE88" s="31"/>
      <c r="AK88" s="31"/>
      <c r="AL88" s="31"/>
    </row>
    <row r="89" spans="1:38" ht="12.75" customHeight="1" x14ac:dyDescent="0.25">
      <c r="A89" s="148" t="str">
        <f t="shared" si="36"/>
        <v/>
      </c>
      <c r="B89" s="583" t="str">
        <f t="shared" si="19"/>
        <v/>
      </c>
      <c r="C89" s="825" t="str">
        <f t="shared" si="20"/>
        <v/>
      </c>
      <c r="D89" s="826"/>
      <c r="E89" s="115" t="str">
        <f t="shared" si="21"/>
        <v/>
      </c>
      <c r="F89" s="266" t="str">
        <f t="shared" si="22"/>
        <v/>
      </c>
      <c r="G89" s="116" t="str">
        <f t="shared" si="23"/>
        <v/>
      </c>
      <c r="H89" s="288" t="str">
        <f t="shared" si="24"/>
        <v/>
      </c>
      <c r="I89" s="469" t="str">
        <f t="shared" si="25"/>
        <v/>
      </c>
      <c r="J89" s="648" t="str">
        <f t="shared" si="37"/>
        <v/>
      </c>
      <c r="K89" s="265" t="str">
        <f t="shared" si="27"/>
        <v/>
      </c>
      <c r="L89" s="117" t="str">
        <f t="shared" si="28"/>
        <v/>
      </c>
      <c r="M89" s="118" t="str">
        <f t="shared" si="29"/>
        <v/>
      </c>
      <c r="N89" s="266" t="str">
        <f t="shared" si="30"/>
        <v/>
      </c>
      <c r="O89" s="118" t="str">
        <f t="shared" si="31"/>
        <v/>
      </c>
      <c r="P89" s="184" t="str">
        <f t="shared" si="32"/>
        <v/>
      </c>
      <c r="Q89" s="317" t="str">
        <f t="shared" si="33"/>
        <v/>
      </c>
      <c r="R89" s="121"/>
      <c r="S89" s="396">
        <f t="shared" si="34"/>
        <v>0</v>
      </c>
      <c r="T89" s="396">
        <f t="shared" si="35"/>
        <v>0</v>
      </c>
      <c r="U89" s="425"/>
      <c r="V89" s="121"/>
      <c r="W89" s="121"/>
      <c r="X89" s="121"/>
      <c r="Y89" s="121"/>
      <c r="Z89" s="121"/>
      <c r="AA89" s="121"/>
      <c r="AB89" s="121"/>
      <c r="AC89" s="121"/>
      <c r="AD89" s="121"/>
      <c r="AE89" s="31"/>
      <c r="AK89" s="31"/>
      <c r="AL89" s="31"/>
    </row>
    <row r="90" spans="1:38" ht="12.75" customHeight="1" x14ac:dyDescent="0.25">
      <c r="A90" s="148" t="str">
        <f t="shared" si="18"/>
        <v/>
      </c>
      <c r="B90" s="583" t="str">
        <f t="shared" si="19"/>
        <v/>
      </c>
      <c r="C90" s="825" t="str">
        <f t="shared" si="20"/>
        <v/>
      </c>
      <c r="D90" s="826"/>
      <c r="E90" s="115" t="str">
        <f t="shared" si="21"/>
        <v/>
      </c>
      <c r="F90" s="266" t="str">
        <f t="shared" si="22"/>
        <v/>
      </c>
      <c r="G90" s="116" t="str">
        <f t="shared" si="23"/>
        <v/>
      </c>
      <c r="H90" s="288" t="str">
        <f t="shared" si="24"/>
        <v/>
      </c>
      <c r="I90" s="469" t="str">
        <f t="shared" si="25"/>
        <v/>
      </c>
      <c r="J90" s="648" t="str">
        <f t="shared" si="26"/>
        <v/>
      </c>
      <c r="K90" s="265" t="str">
        <f t="shared" si="27"/>
        <v/>
      </c>
      <c r="L90" s="117" t="str">
        <f t="shared" si="28"/>
        <v/>
      </c>
      <c r="M90" s="118" t="str">
        <f t="shared" si="29"/>
        <v/>
      </c>
      <c r="N90" s="266" t="str">
        <f t="shared" si="30"/>
        <v/>
      </c>
      <c r="O90" s="118" t="str">
        <f t="shared" si="31"/>
        <v/>
      </c>
      <c r="P90" s="184" t="str">
        <f t="shared" si="32"/>
        <v/>
      </c>
      <c r="Q90" s="317" t="str">
        <f t="shared" si="33"/>
        <v/>
      </c>
      <c r="R90" s="30"/>
      <c r="S90" s="396">
        <f t="shared" si="34"/>
        <v>0</v>
      </c>
      <c r="T90" s="396">
        <f t="shared" si="35"/>
        <v>0</v>
      </c>
      <c r="U90" s="425"/>
      <c r="V90" s="30"/>
      <c r="W90" s="84"/>
      <c r="X90" s="84"/>
      <c r="Y90" s="84"/>
      <c r="Z90" s="84"/>
      <c r="AA90" s="84"/>
      <c r="AB90" s="30"/>
      <c r="AC90" s="30"/>
      <c r="AD90" s="30"/>
      <c r="AE90" s="30"/>
      <c r="AK90" s="31"/>
      <c r="AL90" s="31"/>
    </row>
    <row r="91" spans="1:38" ht="12.75" customHeight="1" x14ac:dyDescent="0.25">
      <c r="A91" s="148" t="str">
        <f t="shared" si="18"/>
        <v/>
      </c>
      <c r="B91" s="583" t="str">
        <f t="shared" si="19"/>
        <v/>
      </c>
      <c r="C91" s="825" t="str">
        <f t="shared" si="20"/>
        <v/>
      </c>
      <c r="D91" s="826"/>
      <c r="E91" s="115" t="str">
        <f t="shared" si="21"/>
        <v/>
      </c>
      <c r="F91" s="266" t="str">
        <f t="shared" si="22"/>
        <v/>
      </c>
      <c r="G91" s="116" t="str">
        <f t="shared" si="23"/>
        <v/>
      </c>
      <c r="H91" s="288" t="str">
        <f t="shared" si="24"/>
        <v/>
      </c>
      <c r="I91" s="469" t="str">
        <f t="shared" si="25"/>
        <v/>
      </c>
      <c r="J91" s="648" t="str">
        <f t="shared" si="26"/>
        <v/>
      </c>
      <c r="K91" s="265" t="str">
        <f t="shared" si="27"/>
        <v/>
      </c>
      <c r="L91" s="117" t="str">
        <f t="shared" si="28"/>
        <v/>
      </c>
      <c r="M91" s="118" t="str">
        <f t="shared" si="29"/>
        <v/>
      </c>
      <c r="N91" s="266" t="str">
        <f t="shared" si="30"/>
        <v/>
      </c>
      <c r="O91" s="118" t="str">
        <f t="shared" si="31"/>
        <v/>
      </c>
      <c r="P91" s="184" t="str">
        <f t="shared" si="32"/>
        <v/>
      </c>
      <c r="Q91" s="317" t="str">
        <f t="shared" si="33"/>
        <v/>
      </c>
      <c r="R91" s="30"/>
      <c r="S91" s="396">
        <f t="shared" si="34"/>
        <v>0</v>
      </c>
      <c r="T91" s="396">
        <f t="shared" si="35"/>
        <v>0</v>
      </c>
      <c r="U91" s="425"/>
      <c r="V91" s="30"/>
      <c r="W91" s="84"/>
      <c r="X91" s="84"/>
      <c r="Y91" s="84"/>
      <c r="Z91" s="84"/>
      <c r="AA91" s="84"/>
      <c r="AB91" s="30"/>
      <c r="AC91" s="30"/>
      <c r="AD91" s="30"/>
      <c r="AE91" s="30"/>
      <c r="AK91" s="31"/>
      <c r="AL91" s="31"/>
    </row>
    <row r="92" spans="1:38" ht="12.75" customHeight="1" x14ac:dyDescent="0.25">
      <c r="A92" s="148" t="str">
        <f t="shared" si="18"/>
        <v/>
      </c>
      <c r="B92" s="583" t="str">
        <f t="shared" si="19"/>
        <v/>
      </c>
      <c r="C92" s="825" t="str">
        <f t="shared" si="20"/>
        <v/>
      </c>
      <c r="D92" s="826"/>
      <c r="E92" s="115" t="str">
        <f t="shared" si="21"/>
        <v/>
      </c>
      <c r="F92" s="266" t="str">
        <f t="shared" si="22"/>
        <v/>
      </c>
      <c r="G92" s="116" t="str">
        <f t="shared" si="23"/>
        <v/>
      </c>
      <c r="H92" s="288" t="str">
        <f t="shared" si="24"/>
        <v/>
      </c>
      <c r="I92" s="469" t="str">
        <f t="shared" si="25"/>
        <v/>
      </c>
      <c r="J92" s="648" t="str">
        <f t="shared" si="26"/>
        <v/>
      </c>
      <c r="K92" s="265" t="str">
        <f t="shared" si="27"/>
        <v/>
      </c>
      <c r="L92" s="117" t="str">
        <f t="shared" si="28"/>
        <v/>
      </c>
      <c r="M92" s="118" t="str">
        <f t="shared" si="29"/>
        <v/>
      </c>
      <c r="N92" s="266" t="str">
        <f t="shared" si="30"/>
        <v/>
      </c>
      <c r="O92" s="118" t="str">
        <f t="shared" si="31"/>
        <v/>
      </c>
      <c r="P92" s="184" t="str">
        <f t="shared" si="32"/>
        <v/>
      </c>
      <c r="Q92" s="317" t="str">
        <f t="shared" si="33"/>
        <v/>
      </c>
      <c r="R92" s="31"/>
      <c r="S92" s="396">
        <f t="shared" si="34"/>
        <v>0</v>
      </c>
      <c r="T92" s="396">
        <f t="shared" si="35"/>
        <v>0</v>
      </c>
      <c r="U92" s="425"/>
      <c r="V92" s="31"/>
      <c r="W92" s="80"/>
      <c r="X92" s="80"/>
      <c r="Y92" s="80"/>
      <c r="Z92" s="80"/>
      <c r="AA92" s="80"/>
      <c r="AB92" s="31"/>
      <c r="AC92" s="31"/>
      <c r="AD92" s="31"/>
      <c r="AE92" s="31"/>
      <c r="AK92" s="31"/>
      <c r="AL92" s="31"/>
    </row>
    <row r="93" spans="1:38" ht="12.75" customHeight="1" x14ac:dyDescent="0.25">
      <c r="A93" s="148" t="str">
        <f t="shared" si="18"/>
        <v/>
      </c>
      <c r="B93" s="583" t="str">
        <f t="shared" si="19"/>
        <v/>
      </c>
      <c r="C93" s="825" t="str">
        <f t="shared" si="20"/>
        <v/>
      </c>
      <c r="D93" s="826"/>
      <c r="E93" s="115" t="str">
        <f t="shared" si="21"/>
        <v/>
      </c>
      <c r="F93" s="266" t="str">
        <f t="shared" si="22"/>
        <v/>
      </c>
      <c r="G93" s="116" t="str">
        <f t="shared" si="23"/>
        <v/>
      </c>
      <c r="H93" s="288" t="str">
        <f t="shared" si="24"/>
        <v/>
      </c>
      <c r="I93" s="469" t="str">
        <f t="shared" si="25"/>
        <v/>
      </c>
      <c r="J93" s="648" t="str">
        <f t="shared" si="26"/>
        <v/>
      </c>
      <c r="K93" s="265" t="str">
        <f t="shared" si="27"/>
        <v/>
      </c>
      <c r="L93" s="117" t="str">
        <f t="shared" si="28"/>
        <v/>
      </c>
      <c r="M93" s="118" t="str">
        <f t="shared" si="29"/>
        <v/>
      </c>
      <c r="N93" s="266" t="str">
        <f t="shared" si="30"/>
        <v/>
      </c>
      <c r="O93" s="118" t="str">
        <f t="shared" si="31"/>
        <v/>
      </c>
      <c r="P93" s="184" t="str">
        <f t="shared" si="32"/>
        <v/>
      </c>
      <c r="Q93" s="317" t="str">
        <f t="shared" si="33"/>
        <v/>
      </c>
      <c r="R93" s="31"/>
      <c r="S93" s="396">
        <f t="shared" si="34"/>
        <v>0</v>
      </c>
      <c r="T93" s="396">
        <f t="shared" si="35"/>
        <v>0</v>
      </c>
      <c r="U93" s="425"/>
      <c r="V93" s="31"/>
      <c r="W93" s="80"/>
      <c r="X93" s="80"/>
      <c r="Y93" s="80"/>
      <c r="Z93" s="80"/>
      <c r="AA93" s="80"/>
      <c r="AB93" s="31"/>
      <c r="AC93" s="31"/>
      <c r="AD93" s="31"/>
      <c r="AE93" s="31"/>
      <c r="AK93" s="31"/>
      <c r="AL93" s="31"/>
    </row>
    <row r="94" spans="1:38" ht="12.75" customHeight="1" x14ac:dyDescent="0.25">
      <c r="A94" s="148" t="str">
        <f t="shared" si="18"/>
        <v/>
      </c>
      <c r="B94" s="583" t="str">
        <f t="shared" si="19"/>
        <v/>
      </c>
      <c r="C94" s="825" t="str">
        <f t="shared" si="20"/>
        <v/>
      </c>
      <c r="D94" s="826"/>
      <c r="E94" s="115" t="str">
        <f t="shared" si="21"/>
        <v/>
      </c>
      <c r="F94" s="266" t="str">
        <f t="shared" si="22"/>
        <v/>
      </c>
      <c r="G94" s="116" t="str">
        <f t="shared" si="23"/>
        <v/>
      </c>
      <c r="H94" s="288" t="str">
        <f t="shared" si="24"/>
        <v/>
      </c>
      <c r="I94" s="469" t="str">
        <f t="shared" si="25"/>
        <v/>
      </c>
      <c r="J94" s="648" t="str">
        <f t="shared" si="26"/>
        <v/>
      </c>
      <c r="K94" s="265" t="str">
        <f t="shared" si="27"/>
        <v/>
      </c>
      <c r="L94" s="117" t="str">
        <f t="shared" si="28"/>
        <v/>
      </c>
      <c r="M94" s="118" t="str">
        <f t="shared" si="29"/>
        <v/>
      </c>
      <c r="N94" s="266" t="str">
        <f t="shared" si="30"/>
        <v/>
      </c>
      <c r="O94" s="118" t="str">
        <f t="shared" si="31"/>
        <v/>
      </c>
      <c r="P94" s="184" t="str">
        <f t="shared" si="32"/>
        <v/>
      </c>
      <c r="Q94" s="317" t="str">
        <f t="shared" si="33"/>
        <v/>
      </c>
      <c r="R94" s="31"/>
      <c r="S94" s="396">
        <f t="shared" si="34"/>
        <v>0</v>
      </c>
      <c r="T94" s="396">
        <f t="shared" si="35"/>
        <v>0</v>
      </c>
      <c r="U94" s="425"/>
      <c r="V94" s="31"/>
      <c r="W94" s="80"/>
      <c r="X94" s="80"/>
      <c r="Y94" s="80"/>
      <c r="Z94" s="80"/>
      <c r="AA94" s="80"/>
      <c r="AB94" s="31"/>
      <c r="AC94" s="31"/>
      <c r="AD94" s="31"/>
      <c r="AE94" s="31"/>
      <c r="AK94" s="31"/>
      <c r="AL94" s="31"/>
    </row>
    <row r="95" spans="1:38" ht="12.75" customHeight="1" x14ac:dyDescent="0.25">
      <c r="A95" s="148" t="str">
        <f t="shared" si="18"/>
        <v/>
      </c>
      <c r="B95" s="583" t="str">
        <f t="shared" si="19"/>
        <v/>
      </c>
      <c r="C95" s="825" t="str">
        <f t="shared" si="20"/>
        <v/>
      </c>
      <c r="D95" s="826"/>
      <c r="E95" s="115" t="str">
        <f t="shared" si="21"/>
        <v/>
      </c>
      <c r="F95" s="266" t="str">
        <f t="shared" si="22"/>
        <v/>
      </c>
      <c r="G95" s="116" t="str">
        <f t="shared" si="23"/>
        <v/>
      </c>
      <c r="H95" s="288" t="str">
        <f t="shared" si="24"/>
        <v/>
      </c>
      <c r="I95" s="469" t="str">
        <f t="shared" si="25"/>
        <v/>
      </c>
      <c r="J95" s="648" t="str">
        <f t="shared" si="26"/>
        <v/>
      </c>
      <c r="K95" s="265" t="str">
        <f t="shared" si="27"/>
        <v/>
      </c>
      <c r="L95" s="117" t="str">
        <f t="shared" si="28"/>
        <v/>
      </c>
      <c r="M95" s="118" t="str">
        <f t="shared" si="29"/>
        <v/>
      </c>
      <c r="N95" s="266" t="str">
        <f t="shared" si="30"/>
        <v/>
      </c>
      <c r="O95" s="118" t="str">
        <f t="shared" si="31"/>
        <v/>
      </c>
      <c r="P95" s="184" t="str">
        <f t="shared" si="32"/>
        <v/>
      </c>
      <c r="Q95" s="317" t="str">
        <f t="shared" si="33"/>
        <v/>
      </c>
      <c r="R95" s="31"/>
      <c r="S95" s="396">
        <f t="shared" si="34"/>
        <v>0</v>
      </c>
      <c r="T95" s="396">
        <f t="shared" si="35"/>
        <v>0</v>
      </c>
      <c r="U95" s="425"/>
      <c r="V95" s="31"/>
      <c r="W95" s="80"/>
      <c r="X95" s="80"/>
      <c r="Y95" s="80"/>
      <c r="Z95" s="80"/>
      <c r="AA95" s="80"/>
      <c r="AB95" s="31"/>
      <c r="AC95" s="31"/>
      <c r="AD95" s="31"/>
      <c r="AE95" s="31"/>
      <c r="AK95" s="31"/>
      <c r="AL95" s="31"/>
    </row>
    <row r="96" spans="1:38" ht="12.75" customHeight="1" x14ac:dyDescent="0.25">
      <c r="A96" s="148" t="str">
        <f t="shared" si="18"/>
        <v/>
      </c>
      <c r="B96" s="583" t="str">
        <f t="shared" si="19"/>
        <v/>
      </c>
      <c r="C96" s="825" t="str">
        <f t="shared" si="20"/>
        <v/>
      </c>
      <c r="D96" s="826"/>
      <c r="E96" s="115" t="str">
        <f t="shared" si="21"/>
        <v/>
      </c>
      <c r="F96" s="266" t="str">
        <f t="shared" si="22"/>
        <v/>
      </c>
      <c r="G96" s="116" t="str">
        <f t="shared" si="23"/>
        <v/>
      </c>
      <c r="H96" s="288" t="str">
        <f t="shared" si="24"/>
        <v/>
      </c>
      <c r="I96" s="469" t="str">
        <f t="shared" si="25"/>
        <v/>
      </c>
      <c r="J96" s="648" t="str">
        <f t="shared" si="26"/>
        <v/>
      </c>
      <c r="K96" s="265" t="str">
        <f t="shared" si="27"/>
        <v/>
      </c>
      <c r="L96" s="117" t="str">
        <f t="shared" si="28"/>
        <v/>
      </c>
      <c r="M96" s="118" t="str">
        <f t="shared" si="29"/>
        <v/>
      </c>
      <c r="N96" s="266" t="str">
        <f t="shared" si="30"/>
        <v/>
      </c>
      <c r="O96" s="118" t="str">
        <f t="shared" si="31"/>
        <v/>
      </c>
      <c r="P96" s="184" t="str">
        <f t="shared" si="32"/>
        <v/>
      </c>
      <c r="Q96" s="317" t="str">
        <f t="shared" si="33"/>
        <v/>
      </c>
      <c r="R96" s="31"/>
      <c r="S96" s="396">
        <f t="shared" si="34"/>
        <v>0</v>
      </c>
      <c r="T96" s="396">
        <f t="shared" si="35"/>
        <v>0</v>
      </c>
      <c r="U96" s="425"/>
      <c r="V96" s="31"/>
      <c r="W96" s="80"/>
      <c r="X96" s="80"/>
      <c r="Y96" s="80"/>
      <c r="Z96" s="80"/>
      <c r="AA96" s="80"/>
      <c r="AB96" s="31"/>
      <c r="AC96" s="31"/>
      <c r="AD96" s="31"/>
      <c r="AE96" s="31"/>
      <c r="AK96" s="31"/>
      <c r="AL96" s="31"/>
    </row>
    <row r="97" spans="1:38" ht="12.75" customHeight="1" x14ac:dyDescent="0.25">
      <c r="A97" s="148" t="str">
        <f t="shared" si="18"/>
        <v/>
      </c>
      <c r="B97" s="583" t="str">
        <f t="shared" si="19"/>
        <v/>
      </c>
      <c r="C97" s="825" t="str">
        <f t="shared" si="20"/>
        <v/>
      </c>
      <c r="D97" s="826"/>
      <c r="E97" s="115" t="str">
        <f t="shared" si="21"/>
        <v/>
      </c>
      <c r="F97" s="266" t="str">
        <f t="shared" si="22"/>
        <v/>
      </c>
      <c r="G97" s="116" t="str">
        <f t="shared" si="23"/>
        <v/>
      </c>
      <c r="H97" s="288" t="str">
        <f t="shared" si="24"/>
        <v/>
      </c>
      <c r="I97" s="469" t="str">
        <f t="shared" si="25"/>
        <v/>
      </c>
      <c r="J97" s="648" t="str">
        <f t="shared" si="26"/>
        <v/>
      </c>
      <c r="K97" s="265" t="str">
        <f t="shared" si="27"/>
        <v/>
      </c>
      <c r="L97" s="117" t="str">
        <f t="shared" si="28"/>
        <v/>
      </c>
      <c r="M97" s="118" t="str">
        <f t="shared" si="29"/>
        <v/>
      </c>
      <c r="N97" s="266" t="str">
        <f t="shared" si="30"/>
        <v/>
      </c>
      <c r="O97" s="118" t="str">
        <f t="shared" si="31"/>
        <v/>
      </c>
      <c r="P97" s="184" t="str">
        <f t="shared" si="32"/>
        <v/>
      </c>
      <c r="Q97" s="317" t="str">
        <f t="shared" si="33"/>
        <v/>
      </c>
      <c r="R97" s="31"/>
      <c r="S97" s="396">
        <f t="shared" si="34"/>
        <v>0</v>
      </c>
      <c r="T97" s="396">
        <f t="shared" si="35"/>
        <v>0</v>
      </c>
      <c r="U97" s="425"/>
      <c r="V97" s="31"/>
      <c r="W97" s="80"/>
      <c r="X97" s="80"/>
      <c r="Y97" s="80"/>
      <c r="Z97" s="80"/>
      <c r="AA97" s="80"/>
      <c r="AB97" s="31"/>
      <c r="AC97" s="31"/>
      <c r="AD97" s="31"/>
      <c r="AE97" s="31"/>
      <c r="AK97" s="31"/>
      <c r="AL97" s="31"/>
    </row>
    <row r="98" spans="1:38" ht="12.75" customHeight="1" x14ac:dyDescent="0.25">
      <c r="A98" s="148" t="str">
        <f t="shared" si="18"/>
        <v/>
      </c>
      <c r="B98" s="583" t="str">
        <f t="shared" si="19"/>
        <v/>
      </c>
      <c r="C98" s="825" t="str">
        <f t="shared" si="20"/>
        <v/>
      </c>
      <c r="D98" s="826"/>
      <c r="E98" s="115" t="str">
        <f t="shared" si="21"/>
        <v/>
      </c>
      <c r="F98" s="266" t="str">
        <f t="shared" si="22"/>
        <v/>
      </c>
      <c r="G98" s="116" t="str">
        <f t="shared" si="23"/>
        <v/>
      </c>
      <c r="H98" s="288" t="str">
        <f t="shared" si="24"/>
        <v/>
      </c>
      <c r="I98" s="469" t="str">
        <f t="shared" si="25"/>
        <v/>
      </c>
      <c r="J98" s="648" t="str">
        <f t="shared" si="26"/>
        <v/>
      </c>
      <c r="K98" s="265" t="str">
        <f t="shared" si="27"/>
        <v/>
      </c>
      <c r="L98" s="117" t="str">
        <f t="shared" si="28"/>
        <v/>
      </c>
      <c r="M98" s="118" t="str">
        <f t="shared" si="29"/>
        <v/>
      </c>
      <c r="N98" s="266" t="str">
        <f t="shared" si="30"/>
        <v/>
      </c>
      <c r="O98" s="118" t="str">
        <f t="shared" si="31"/>
        <v/>
      </c>
      <c r="P98" s="184" t="str">
        <f t="shared" si="32"/>
        <v/>
      </c>
      <c r="Q98" s="317" t="str">
        <f t="shared" si="33"/>
        <v/>
      </c>
      <c r="R98" s="31"/>
      <c r="S98" s="396">
        <f t="shared" si="34"/>
        <v>0</v>
      </c>
      <c r="T98" s="396">
        <f t="shared" si="35"/>
        <v>0</v>
      </c>
      <c r="U98" s="425"/>
      <c r="V98" s="31"/>
      <c r="W98" s="80"/>
      <c r="X98" s="80"/>
      <c r="Y98" s="80"/>
      <c r="Z98" s="80"/>
      <c r="AA98" s="80"/>
      <c r="AB98" s="31"/>
      <c r="AC98" s="31"/>
      <c r="AD98" s="31"/>
      <c r="AE98" s="31"/>
      <c r="AK98" s="31"/>
      <c r="AL98" s="31"/>
    </row>
    <row r="99" spans="1:38" ht="12.75" customHeight="1" x14ac:dyDescent="0.25">
      <c r="A99" s="148" t="str">
        <f t="shared" si="18"/>
        <v/>
      </c>
      <c r="B99" s="583" t="str">
        <f t="shared" si="19"/>
        <v/>
      </c>
      <c r="C99" s="825" t="str">
        <f t="shared" si="20"/>
        <v/>
      </c>
      <c r="D99" s="826"/>
      <c r="E99" s="115" t="str">
        <f t="shared" si="21"/>
        <v/>
      </c>
      <c r="F99" s="266" t="str">
        <f t="shared" si="22"/>
        <v/>
      </c>
      <c r="G99" s="116" t="str">
        <f t="shared" si="23"/>
        <v/>
      </c>
      <c r="H99" s="288" t="str">
        <f t="shared" si="24"/>
        <v/>
      </c>
      <c r="I99" s="469" t="str">
        <f t="shared" si="25"/>
        <v/>
      </c>
      <c r="J99" s="648" t="str">
        <f t="shared" si="26"/>
        <v/>
      </c>
      <c r="K99" s="265" t="str">
        <f t="shared" si="27"/>
        <v/>
      </c>
      <c r="L99" s="117" t="str">
        <f t="shared" si="28"/>
        <v/>
      </c>
      <c r="M99" s="118" t="str">
        <f t="shared" si="29"/>
        <v/>
      </c>
      <c r="N99" s="266" t="str">
        <f t="shared" si="30"/>
        <v/>
      </c>
      <c r="O99" s="118" t="str">
        <f t="shared" si="31"/>
        <v/>
      </c>
      <c r="P99" s="184" t="str">
        <f t="shared" si="32"/>
        <v/>
      </c>
      <c r="Q99" s="317" t="str">
        <f t="shared" si="33"/>
        <v/>
      </c>
      <c r="R99" s="31"/>
      <c r="S99" s="396">
        <f t="shared" si="34"/>
        <v>0</v>
      </c>
      <c r="T99" s="396">
        <f t="shared" si="35"/>
        <v>0</v>
      </c>
      <c r="U99" s="425"/>
      <c r="V99" s="31"/>
      <c r="W99" s="80"/>
      <c r="X99" s="80"/>
      <c r="Y99" s="80"/>
      <c r="Z99" s="80"/>
      <c r="AA99" s="80"/>
      <c r="AB99" s="31"/>
      <c r="AC99" s="31"/>
      <c r="AD99" s="31"/>
      <c r="AE99" s="31"/>
      <c r="AK99" s="31"/>
      <c r="AL99" s="31"/>
    </row>
    <row r="100" spans="1:38" ht="12.75" customHeight="1" x14ac:dyDescent="0.25">
      <c r="A100" s="148" t="str">
        <f t="shared" si="18"/>
        <v/>
      </c>
      <c r="B100" s="583" t="str">
        <f t="shared" si="19"/>
        <v/>
      </c>
      <c r="C100" s="825" t="str">
        <f t="shared" si="20"/>
        <v/>
      </c>
      <c r="D100" s="826"/>
      <c r="E100" s="115" t="str">
        <f t="shared" si="21"/>
        <v/>
      </c>
      <c r="F100" s="266" t="str">
        <f t="shared" si="22"/>
        <v/>
      </c>
      <c r="G100" s="116" t="str">
        <f t="shared" si="23"/>
        <v/>
      </c>
      <c r="H100" s="288" t="str">
        <f t="shared" si="24"/>
        <v/>
      </c>
      <c r="I100" s="469" t="str">
        <f t="shared" si="25"/>
        <v/>
      </c>
      <c r="J100" s="648" t="str">
        <f t="shared" si="26"/>
        <v/>
      </c>
      <c r="K100" s="265" t="str">
        <f t="shared" si="27"/>
        <v/>
      </c>
      <c r="L100" s="117" t="str">
        <f t="shared" si="28"/>
        <v/>
      </c>
      <c r="M100" s="118" t="str">
        <f t="shared" si="29"/>
        <v/>
      </c>
      <c r="N100" s="266" t="str">
        <f t="shared" si="30"/>
        <v/>
      </c>
      <c r="O100" s="118" t="str">
        <f t="shared" si="31"/>
        <v/>
      </c>
      <c r="P100" s="184" t="str">
        <f t="shared" si="32"/>
        <v/>
      </c>
      <c r="Q100" s="317" t="str">
        <f t="shared" si="33"/>
        <v/>
      </c>
      <c r="R100" s="31"/>
      <c r="S100" s="396">
        <f t="shared" si="34"/>
        <v>0</v>
      </c>
      <c r="T100" s="396">
        <f t="shared" si="35"/>
        <v>0</v>
      </c>
      <c r="U100" s="425"/>
      <c r="V100" s="31"/>
      <c r="W100" s="80"/>
      <c r="X100" s="80"/>
      <c r="Y100" s="80"/>
      <c r="Z100" s="80"/>
      <c r="AA100" s="80"/>
      <c r="AB100" s="31"/>
      <c r="AC100" s="31"/>
      <c r="AD100" s="31"/>
      <c r="AE100" s="31"/>
      <c r="AK100" s="31"/>
      <c r="AL100" s="31"/>
    </row>
    <row r="101" spans="1:38" ht="12.75" customHeight="1" x14ac:dyDescent="0.25">
      <c r="A101" s="148" t="str">
        <f t="shared" si="18"/>
        <v/>
      </c>
      <c r="B101" s="583" t="str">
        <f t="shared" si="19"/>
        <v/>
      </c>
      <c r="C101" s="825" t="str">
        <f t="shared" si="20"/>
        <v/>
      </c>
      <c r="D101" s="826"/>
      <c r="E101" s="115" t="str">
        <f t="shared" si="21"/>
        <v/>
      </c>
      <c r="F101" s="266" t="str">
        <f t="shared" si="22"/>
        <v/>
      </c>
      <c r="G101" s="116" t="str">
        <f t="shared" si="23"/>
        <v/>
      </c>
      <c r="H101" s="288" t="str">
        <f t="shared" si="24"/>
        <v/>
      </c>
      <c r="I101" s="469" t="str">
        <f t="shared" si="25"/>
        <v/>
      </c>
      <c r="J101" s="648" t="str">
        <f t="shared" si="26"/>
        <v/>
      </c>
      <c r="K101" s="265" t="str">
        <f t="shared" si="27"/>
        <v/>
      </c>
      <c r="L101" s="117" t="str">
        <f t="shared" si="28"/>
        <v/>
      </c>
      <c r="M101" s="118" t="str">
        <f t="shared" si="29"/>
        <v/>
      </c>
      <c r="N101" s="266" t="str">
        <f t="shared" si="30"/>
        <v/>
      </c>
      <c r="O101" s="118" t="str">
        <f t="shared" si="31"/>
        <v/>
      </c>
      <c r="P101" s="184" t="str">
        <f t="shared" si="32"/>
        <v/>
      </c>
      <c r="Q101" s="317" t="str">
        <f t="shared" si="33"/>
        <v/>
      </c>
      <c r="R101" s="31"/>
      <c r="S101" s="396">
        <f t="shared" si="34"/>
        <v>0</v>
      </c>
      <c r="T101" s="396">
        <f t="shared" si="35"/>
        <v>0</v>
      </c>
      <c r="U101" s="425"/>
      <c r="V101" s="31"/>
      <c r="W101" s="80"/>
      <c r="X101" s="80"/>
      <c r="Y101" s="80"/>
      <c r="Z101" s="80"/>
      <c r="AA101" s="80"/>
      <c r="AB101" s="31"/>
      <c r="AC101" s="31"/>
      <c r="AD101" s="31"/>
      <c r="AE101" s="31"/>
      <c r="AK101" s="31"/>
      <c r="AL101" s="31"/>
    </row>
    <row r="102" spans="1:38" ht="12.75" customHeight="1" x14ac:dyDescent="0.25">
      <c r="A102" s="148" t="str">
        <f t="shared" si="18"/>
        <v/>
      </c>
      <c r="B102" s="583" t="str">
        <f t="shared" si="19"/>
        <v/>
      </c>
      <c r="C102" s="825" t="str">
        <f t="shared" si="20"/>
        <v/>
      </c>
      <c r="D102" s="826"/>
      <c r="E102" s="115" t="str">
        <f t="shared" si="21"/>
        <v/>
      </c>
      <c r="F102" s="266" t="str">
        <f t="shared" si="22"/>
        <v/>
      </c>
      <c r="G102" s="116" t="str">
        <f t="shared" si="23"/>
        <v/>
      </c>
      <c r="H102" s="288" t="str">
        <f t="shared" si="24"/>
        <v/>
      </c>
      <c r="I102" s="469" t="str">
        <f t="shared" si="25"/>
        <v/>
      </c>
      <c r="J102" s="648" t="str">
        <f t="shared" si="26"/>
        <v/>
      </c>
      <c r="K102" s="265" t="str">
        <f t="shared" si="27"/>
        <v/>
      </c>
      <c r="L102" s="117" t="str">
        <f t="shared" si="28"/>
        <v/>
      </c>
      <c r="M102" s="118" t="str">
        <f t="shared" si="29"/>
        <v/>
      </c>
      <c r="N102" s="266" t="str">
        <f t="shared" si="30"/>
        <v/>
      </c>
      <c r="O102" s="118" t="str">
        <f t="shared" si="31"/>
        <v/>
      </c>
      <c r="P102" s="184" t="str">
        <f t="shared" si="32"/>
        <v/>
      </c>
      <c r="Q102" s="317" t="str">
        <f t="shared" si="33"/>
        <v/>
      </c>
      <c r="R102" s="31"/>
      <c r="S102" s="396">
        <f t="shared" si="34"/>
        <v>0</v>
      </c>
      <c r="T102" s="396">
        <f t="shared" si="35"/>
        <v>0</v>
      </c>
      <c r="U102" s="425"/>
      <c r="V102" s="31"/>
      <c r="W102" s="80"/>
      <c r="X102" s="80"/>
      <c r="Y102" s="80"/>
      <c r="Z102" s="80"/>
      <c r="AA102" s="80"/>
      <c r="AB102" s="31"/>
      <c r="AC102" s="31"/>
      <c r="AD102" s="31"/>
      <c r="AE102" s="31"/>
      <c r="AK102" s="31"/>
      <c r="AL102" s="31"/>
    </row>
    <row r="103" spans="1:38" ht="12.75" customHeight="1" x14ac:dyDescent="0.25">
      <c r="A103" s="148" t="str">
        <f t="shared" si="18"/>
        <v/>
      </c>
      <c r="B103" s="583" t="str">
        <f t="shared" si="19"/>
        <v/>
      </c>
      <c r="C103" s="825" t="str">
        <f t="shared" si="20"/>
        <v/>
      </c>
      <c r="D103" s="826"/>
      <c r="E103" s="115" t="str">
        <f t="shared" si="21"/>
        <v/>
      </c>
      <c r="F103" s="266" t="str">
        <f t="shared" si="22"/>
        <v/>
      </c>
      <c r="G103" s="116" t="str">
        <f t="shared" si="23"/>
        <v/>
      </c>
      <c r="H103" s="288" t="str">
        <f t="shared" si="24"/>
        <v/>
      </c>
      <c r="I103" s="469" t="str">
        <f t="shared" si="25"/>
        <v/>
      </c>
      <c r="J103" s="648" t="str">
        <f t="shared" si="26"/>
        <v/>
      </c>
      <c r="K103" s="265" t="str">
        <f t="shared" si="27"/>
        <v/>
      </c>
      <c r="L103" s="117" t="str">
        <f t="shared" si="28"/>
        <v/>
      </c>
      <c r="M103" s="118" t="str">
        <f t="shared" si="29"/>
        <v/>
      </c>
      <c r="N103" s="266" t="str">
        <f t="shared" si="30"/>
        <v/>
      </c>
      <c r="O103" s="118" t="str">
        <f t="shared" si="31"/>
        <v/>
      </c>
      <c r="P103" s="184" t="str">
        <f t="shared" si="32"/>
        <v/>
      </c>
      <c r="Q103" s="317" t="str">
        <f t="shared" si="33"/>
        <v/>
      </c>
      <c r="R103" s="31"/>
      <c r="S103" s="396">
        <f t="shared" si="34"/>
        <v>0</v>
      </c>
      <c r="T103" s="396">
        <f t="shared" si="35"/>
        <v>0</v>
      </c>
      <c r="U103" s="425"/>
      <c r="V103" s="31"/>
      <c r="W103" s="80"/>
      <c r="X103" s="80"/>
      <c r="Y103" s="80"/>
      <c r="Z103" s="80"/>
      <c r="AA103" s="80"/>
      <c r="AB103" s="31"/>
      <c r="AC103" s="31"/>
      <c r="AD103" s="31"/>
      <c r="AE103" s="31"/>
      <c r="AK103" s="31"/>
      <c r="AL103" s="31"/>
    </row>
    <row r="104" spans="1:38" ht="12.75" customHeight="1" x14ac:dyDescent="0.25">
      <c r="A104" s="148" t="str">
        <f t="shared" si="18"/>
        <v/>
      </c>
      <c r="B104" s="583" t="str">
        <f t="shared" si="19"/>
        <v/>
      </c>
      <c r="C104" s="825" t="str">
        <f t="shared" si="20"/>
        <v/>
      </c>
      <c r="D104" s="826"/>
      <c r="E104" s="115" t="str">
        <f t="shared" si="21"/>
        <v/>
      </c>
      <c r="F104" s="266" t="str">
        <f t="shared" si="22"/>
        <v/>
      </c>
      <c r="G104" s="116" t="str">
        <f t="shared" si="23"/>
        <v/>
      </c>
      <c r="H104" s="288" t="str">
        <f t="shared" si="24"/>
        <v/>
      </c>
      <c r="I104" s="469" t="str">
        <f t="shared" si="25"/>
        <v/>
      </c>
      <c r="J104" s="648" t="str">
        <f t="shared" si="26"/>
        <v/>
      </c>
      <c r="K104" s="265" t="str">
        <f t="shared" si="27"/>
        <v/>
      </c>
      <c r="L104" s="117" t="str">
        <f t="shared" si="28"/>
        <v/>
      </c>
      <c r="M104" s="118" t="str">
        <f t="shared" si="29"/>
        <v/>
      </c>
      <c r="N104" s="266" t="str">
        <f t="shared" si="30"/>
        <v/>
      </c>
      <c r="O104" s="118" t="str">
        <f t="shared" si="31"/>
        <v/>
      </c>
      <c r="P104" s="184" t="str">
        <f t="shared" si="32"/>
        <v/>
      </c>
      <c r="Q104" s="317" t="str">
        <f t="shared" si="33"/>
        <v/>
      </c>
      <c r="R104" s="31"/>
      <c r="S104" s="396">
        <f t="shared" si="34"/>
        <v>0</v>
      </c>
      <c r="T104" s="396">
        <f t="shared" si="35"/>
        <v>0</v>
      </c>
      <c r="U104" s="425"/>
      <c r="V104" s="31"/>
      <c r="W104" s="80"/>
      <c r="X104" s="80"/>
      <c r="Y104" s="80"/>
      <c r="Z104" s="80"/>
      <c r="AA104" s="80"/>
      <c r="AB104" s="31"/>
      <c r="AC104" s="31"/>
      <c r="AD104" s="31"/>
      <c r="AE104" s="31"/>
      <c r="AK104" s="31"/>
      <c r="AL104" s="31"/>
    </row>
    <row r="105" spans="1:38" ht="12.75" customHeight="1" x14ac:dyDescent="0.25">
      <c r="A105" s="148" t="str">
        <f t="shared" si="18"/>
        <v/>
      </c>
      <c r="B105" s="583" t="str">
        <f t="shared" si="19"/>
        <v/>
      </c>
      <c r="C105" s="825" t="str">
        <f t="shared" si="20"/>
        <v/>
      </c>
      <c r="D105" s="826"/>
      <c r="E105" s="115" t="str">
        <f t="shared" si="21"/>
        <v/>
      </c>
      <c r="F105" s="266" t="str">
        <f t="shared" si="22"/>
        <v/>
      </c>
      <c r="G105" s="116" t="str">
        <f t="shared" si="23"/>
        <v/>
      </c>
      <c r="H105" s="288" t="str">
        <f t="shared" si="24"/>
        <v/>
      </c>
      <c r="I105" s="469" t="str">
        <f t="shared" si="25"/>
        <v/>
      </c>
      <c r="J105" s="648" t="str">
        <f t="shared" si="26"/>
        <v/>
      </c>
      <c r="K105" s="265" t="str">
        <f t="shared" si="27"/>
        <v/>
      </c>
      <c r="L105" s="117" t="str">
        <f t="shared" si="28"/>
        <v/>
      </c>
      <c r="M105" s="118" t="str">
        <f t="shared" si="29"/>
        <v/>
      </c>
      <c r="N105" s="266" t="str">
        <f t="shared" si="30"/>
        <v/>
      </c>
      <c r="O105" s="118" t="str">
        <f t="shared" si="31"/>
        <v/>
      </c>
      <c r="P105" s="184" t="str">
        <f t="shared" si="32"/>
        <v/>
      </c>
      <c r="Q105" s="317" t="str">
        <f t="shared" si="33"/>
        <v/>
      </c>
      <c r="R105" s="31"/>
      <c r="S105" s="396">
        <f t="shared" si="34"/>
        <v>0</v>
      </c>
      <c r="T105" s="396">
        <f t="shared" si="35"/>
        <v>0</v>
      </c>
      <c r="U105" s="425"/>
      <c r="V105" s="31"/>
      <c r="W105" s="80"/>
      <c r="X105" s="80"/>
      <c r="Y105" s="80"/>
      <c r="Z105" s="80"/>
      <c r="AA105" s="80"/>
      <c r="AB105" s="31"/>
      <c r="AC105" s="31"/>
      <c r="AD105" s="31"/>
      <c r="AE105" s="31"/>
      <c r="AK105" s="31"/>
      <c r="AL105" s="31"/>
    </row>
    <row r="106" spans="1:38" ht="12.75" customHeight="1" x14ac:dyDescent="0.25">
      <c r="A106" s="148" t="str">
        <f t="shared" si="18"/>
        <v/>
      </c>
      <c r="B106" s="583" t="str">
        <f t="shared" si="19"/>
        <v/>
      </c>
      <c r="C106" s="825" t="str">
        <f t="shared" si="20"/>
        <v/>
      </c>
      <c r="D106" s="826"/>
      <c r="E106" s="115" t="str">
        <f t="shared" si="21"/>
        <v/>
      </c>
      <c r="F106" s="266" t="str">
        <f t="shared" si="22"/>
        <v/>
      </c>
      <c r="G106" s="116" t="str">
        <f t="shared" si="23"/>
        <v/>
      </c>
      <c r="H106" s="288" t="str">
        <f t="shared" si="24"/>
        <v/>
      </c>
      <c r="I106" s="469" t="str">
        <f t="shared" si="25"/>
        <v/>
      </c>
      <c r="J106" s="648" t="str">
        <f t="shared" si="26"/>
        <v/>
      </c>
      <c r="K106" s="265" t="str">
        <f t="shared" si="27"/>
        <v/>
      </c>
      <c r="L106" s="117" t="str">
        <f t="shared" si="28"/>
        <v/>
      </c>
      <c r="M106" s="118" t="str">
        <f t="shared" si="29"/>
        <v/>
      </c>
      <c r="N106" s="266" t="str">
        <f t="shared" si="30"/>
        <v/>
      </c>
      <c r="O106" s="118" t="str">
        <f t="shared" si="31"/>
        <v/>
      </c>
      <c r="P106" s="184" t="str">
        <f t="shared" si="32"/>
        <v/>
      </c>
      <c r="Q106" s="317" t="str">
        <f t="shared" si="33"/>
        <v/>
      </c>
      <c r="R106" s="31"/>
      <c r="S106" s="396">
        <f t="shared" si="34"/>
        <v>0</v>
      </c>
      <c r="T106" s="396">
        <f t="shared" si="35"/>
        <v>0</v>
      </c>
      <c r="U106" s="425"/>
      <c r="V106" s="31"/>
      <c r="W106" s="80"/>
      <c r="X106" s="80"/>
      <c r="Y106" s="80"/>
      <c r="Z106" s="80"/>
      <c r="AA106" s="80"/>
      <c r="AB106" s="31"/>
      <c r="AC106" s="31"/>
      <c r="AD106" s="31"/>
      <c r="AE106" s="31"/>
      <c r="AK106" s="31"/>
      <c r="AL106" s="31"/>
    </row>
    <row r="107" spans="1:38" ht="12.75" customHeight="1" x14ac:dyDescent="0.25">
      <c r="A107" s="148" t="str">
        <f t="shared" si="18"/>
        <v/>
      </c>
      <c r="B107" s="583" t="str">
        <f t="shared" si="19"/>
        <v/>
      </c>
      <c r="C107" s="825" t="str">
        <f t="shared" si="20"/>
        <v/>
      </c>
      <c r="D107" s="826"/>
      <c r="E107" s="115" t="str">
        <f t="shared" si="21"/>
        <v/>
      </c>
      <c r="F107" s="266" t="str">
        <f t="shared" si="22"/>
        <v/>
      </c>
      <c r="G107" s="116" t="str">
        <f t="shared" si="23"/>
        <v/>
      </c>
      <c r="H107" s="288" t="str">
        <f t="shared" si="24"/>
        <v/>
      </c>
      <c r="I107" s="469" t="str">
        <f t="shared" si="25"/>
        <v/>
      </c>
      <c r="J107" s="648" t="str">
        <f t="shared" si="26"/>
        <v/>
      </c>
      <c r="K107" s="265" t="str">
        <f t="shared" si="27"/>
        <v/>
      </c>
      <c r="L107" s="117" t="str">
        <f t="shared" si="28"/>
        <v/>
      </c>
      <c r="M107" s="118" t="str">
        <f t="shared" si="29"/>
        <v/>
      </c>
      <c r="N107" s="266" t="str">
        <f t="shared" si="30"/>
        <v/>
      </c>
      <c r="O107" s="118" t="str">
        <f t="shared" si="31"/>
        <v/>
      </c>
      <c r="P107" s="184" t="str">
        <f t="shared" si="32"/>
        <v/>
      </c>
      <c r="Q107" s="317" t="str">
        <f t="shared" si="33"/>
        <v/>
      </c>
      <c r="R107" s="31"/>
      <c r="S107" s="396">
        <f t="shared" si="34"/>
        <v>0</v>
      </c>
      <c r="T107" s="396">
        <f t="shared" si="35"/>
        <v>0</v>
      </c>
      <c r="U107" s="425"/>
      <c r="V107" s="31"/>
      <c r="W107" s="80"/>
      <c r="X107" s="80"/>
      <c r="Y107" s="80"/>
      <c r="Z107" s="80"/>
      <c r="AA107" s="80"/>
      <c r="AB107" s="31"/>
      <c r="AC107" s="31"/>
      <c r="AD107" s="31"/>
      <c r="AE107" s="31"/>
      <c r="AK107" s="31"/>
      <c r="AL107" s="31"/>
    </row>
    <row r="108" spans="1:38" ht="12.75" customHeight="1" x14ac:dyDescent="0.25">
      <c r="A108" s="148" t="str">
        <f t="shared" si="18"/>
        <v/>
      </c>
      <c r="B108" s="583" t="str">
        <f t="shared" si="19"/>
        <v/>
      </c>
      <c r="C108" s="825" t="str">
        <f t="shared" si="20"/>
        <v/>
      </c>
      <c r="D108" s="826"/>
      <c r="E108" s="115" t="str">
        <f t="shared" si="21"/>
        <v/>
      </c>
      <c r="F108" s="266" t="str">
        <f t="shared" si="22"/>
        <v/>
      </c>
      <c r="G108" s="116" t="str">
        <f t="shared" si="23"/>
        <v/>
      </c>
      <c r="H108" s="288" t="str">
        <f t="shared" si="24"/>
        <v/>
      </c>
      <c r="I108" s="469" t="str">
        <f t="shared" si="25"/>
        <v/>
      </c>
      <c r="J108" s="648" t="str">
        <f t="shared" si="26"/>
        <v/>
      </c>
      <c r="K108" s="265" t="str">
        <f t="shared" si="27"/>
        <v/>
      </c>
      <c r="L108" s="117" t="str">
        <f t="shared" si="28"/>
        <v/>
      </c>
      <c r="M108" s="118" t="str">
        <f t="shared" si="29"/>
        <v/>
      </c>
      <c r="N108" s="266" t="str">
        <f t="shared" si="30"/>
        <v/>
      </c>
      <c r="O108" s="118" t="str">
        <f t="shared" si="31"/>
        <v/>
      </c>
      <c r="P108" s="184" t="str">
        <f t="shared" si="32"/>
        <v/>
      </c>
      <c r="Q108" s="317" t="str">
        <f t="shared" si="33"/>
        <v/>
      </c>
      <c r="R108" s="31"/>
      <c r="S108" s="396">
        <f t="shared" si="34"/>
        <v>0</v>
      </c>
      <c r="T108" s="396">
        <f t="shared" si="35"/>
        <v>0</v>
      </c>
      <c r="U108" s="425"/>
      <c r="V108" s="31"/>
      <c r="W108" s="80"/>
      <c r="X108" s="80"/>
      <c r="Y108" s="80"/>
      <c r="Z108" s="80"/>
      <c r="AA108" s="80"/>
      <c r="AB108" s="31"/>
      <c r="AC108" s="31"/>
      <c r="AD108" s="31"/>
      <c r="AE108" s="31"/>
      <c r="AK108" s="31"/>
      <c r="AL108" s="31"/>
    </row>
    <row r="109" spans="1:38" ht="12.75" customHeight="1" x14ac:dyDescent="0.25">
      <c r="A109" s="148" t="str">
        <f t="shared" si="18"/>
        <v/>
      </c>
      <c r="B109" s="583" t="str">
        <f t="shared" si="19"/>
        <v/>
      </c>
      <c r="C109" s="825" t="str">
        <f t="shared" si="20"/>
        <v/>
      </c>
      <c r="D109" s="826"/>
      <c r="E109" s="115" t="str">
        <f t="shared" si="21"/>
        <v/>
      </c>
      <c r="F109" s="266" t="str">
        <f t="shared" si="22"/>
        <v/>
      </c>
      <c r="G109" s="116" t="str">
        <f t="shared" si="23"/>
        <v/>
      </c>
      <c r="H109" s="288" t="str">
        <f t="shared" si="24"/>
        <v/>
      </c>
      <c r="I109" s="469" t="str">
        <f t="shared" si="25"/>
        <v/>
      </c>
      <c r="J109" s="648" t="str">
        <f t="shared" si="26"/>
        <v/>
      </c>
      <c r="K109" s="265" t="str">
        <f t="shared" si="27"/>
        <v/>
      </c>
      <c r="L109" s="117" t="str">
        <f t="shared" si="28"/>
        <v/>
      </c>
      <c r="M109" s="118" t="str">
        <f t="shared" si="29"/>
        <v/>
      </c>
      <c r="N109" s="266" t="str">
        <f t="shared" si="30"/>
        <v/>
      </c>
      <c r="O109" s="118" t="str">
        <f t="shared" si="31"/>
        <v/>
      </c>
      <c r="P109" s="184" t="str">
        <f t="shared" si="32"/>
        <v/>
      </c>
      <c r="Q109" s="317" t="str">
        <f t="shared" si="33"/>
        <v/>
      </c>
      <c r="R109" s="31"/>
      <c r="S109" s="396">
        <f t="shared" si="34"/>
        <v>0</v>
      </c>
      <c r="T109" s="396">
        <f t="shared" si="35"/>
        <v>0</v>
      </c>
      <c r="U109" s="425"/>
      <c r="V109" s="31"/>
      <c r="W109" s="80"/>
      <c r="X109" s="80"/>
      <c r="Y109" s="80"/>
      <c r="Z109" s="80"/>
      <c r="AA109" s="80"/>
      <c r="AB109" s="31"/>
      <c r="AC109" s="31"/>
      <c r="AD109" s="31"/>
      <c r="AE109" s="31"/>
      <c r="AK109" s="31"/>
      <c r="AL109" s="31"/>
    </row>
    <row r="110" spans="1:38" ht="12.75" customHeight="1" x14ac:dyDescent="0.25">
      <c r="A110" s="148" t="str">
        <f t="shared" si="18"/>
        <v/>
      </c>
      <c r="B110" s="583" t="str">
        <f t="shared" si="19"/>
        <v/>
      </c>
      <c r="C110" s="825" t="str">
        <f t="shared" si="20"/>
        <v/>
      </c>
      <c r="D110" s="826"/>
      <c r="E110" s="115" t="str">
        <f t="shared" si="21"/>
        <v/>
      </c>
      <c r="F110" s="266" t="str">
        <f t="shared" si="22"/>
        <v/>
      </c>
      <c r="G110" s="116" t="str">
        <f t="shared" si="23"/>
        <v/>
      </c>
      <c r="H110" s="288" t="str">
        <f t="shared" si="24"/>
        <v/>
      </c>
      <c r="I110" s="469" t="str">
        <f t="shared" si="25"/>
        <v/>
      </c>
      <c r="J110" s="648" t="str">
        <f t="shared" si="26"/>
        <v/>
      </c>
      <c r="K110" s="265" t="str">
        <f t="shared" si="27"/>
        <v/>
      </c>
      <c r="L110" s="117" t="str">
        <f t="shared" si="28"/>
        <v/>
      </c>
      <c r="M110" s="118" t="str">
        <f t="shared" si="29"/>
        <v/>
      </c>
      <c r="N110" s="266" t="str">
        <f t="shared" si="30"/>
        <v/>
      </c>
      <c r="O110" s="118" t="str">
        <f t="shared" si="31"/>
        <v/>
      </c>
      <c r="P110" s="184" t="str">
        <f t="shared" si="32"/>
        <v/>
      </c>
      <c r="Q110" s="317" t="str">
        <f t="shared" si="33"/>
        <v/>
      </c>
      <c r="R110" s="31"/>
      <c r="S110" s="396">
        <f t="shared" si="34"/>
        <v>0</v>
      </c>
      <c r="T110" s="396">
        <f t="shared" si="35"/>
        <v>0</v>
      </c>
      <c r="U110" s="425"/>
      <c r="V110" s="31"/>
      <c r="W110" s="80"/>
      <c r="X110" s="80"/>
      <c r="Y110" s="80"/>
      <c r="Z110" s="80"/>
      <c r="AA110" s="80"/>
      <c r="AB110" s="31"/>
      <c r="AC110" s="31"/>
      <c r="AD110" s="31"/>
      <c r="AE110" s="31"/>
      <c r="AK110" s="31"/>
      <c r="AL110" s="31"/>
    </row>
    <row r="111" spans="1:38" ht="12.75" customHeight="1" x14ac:dyDescent="0.25">
      <c r="A111" s="148" t="str">
        <f t="shared" si="18"/>
        <v/>
      </c>
      <c r="B111" s="583" t="str">
        <f t="shared" si="19"/>
        <v/>
      </c>
      <c r="C111" s="825" t="str">
        <f t="shared" si="20"/>
        <v/>
      </c>
      <c r="D111" s="826"/>
      <c r="E111" s="115" t="str">
        <f t="shared" si="21"/>
        <v/>
      </c>
      <c r="F111" s="266" t="str">
        <f t="shared" si="22"/>
        <v/>
      </c>
      <c r="G111" s="116" t="str">
        <f t="shared" si="23"/>
        <v/>
      </c>
      <c r="H111" s="288" t="str">
        <f t="shared" si="24"/>
        <v/>
      </c>
      <c r="I111" s="469" t="str">
        <f t="shared" si="25"/>
        <v/>
      </c>
      <c r="J111" s="648" t="str">
        <f t="shared" si="26"/>
        <v/>
      </c>
      <c r="K111" s="265" t="str">
        <f t="shared" si="27"/>
        <v/>
      </c>
      <c r="L111" s="117" t="str">
        <f t="shared" si="28"/>
        <v/>
      </c>
      <c r="M111" s="118" t="str">
        <f t="shared" si="29"/>
        <v/>
      </c>
      <c r="N111" s="266" t="str">
        <f t="shared" si="30"/>
        <v/>
      </c>
      <c r="O111" s="118" t="str">
        <f t="shared" si="31"/>
        <v/>
      </c>
      <c r="P111" s="184" t="str">
        <f t="shared" si="32"/>
        <v/>
      </c>
      <c r="Q111" s="317" t="str">
        <f t="shared" si="33"/>
        <v/>
      </c>
      <c r="R111" s="31"/>
      <c r="S111" s="396">
        <f t="shared" si="34"/>
        <v>0</v>
      </c>
      <c r="T111" s="396">
        <f t="shared" si="35"/>
        <v>0</v>
      </c>
      <c r="U111" s="425"/>
      <c r="V111" s="31"/>
      <c r="W111" s="80"/>
      <c r="X111" s="80"/>
      <c r="Y111" s="80"/>
      <c r="Z111" s="80"/>
      <c r="AA111" s="80"/>
      <c r="AB111" s="31"/>
      <c r="AC111" s="31"/>
      <c r="AD111" s="31"/>
      <c r="AE111" s="31"/>
      <c r="AK111" s="31"/>
      <c r="AL111" s="31"/>
    </row>
    <row r="112" spans="1:38" ht="12.75" customHeight="1" x14ac:dyDescent="0.25">
      <c r="A112" s="148" t="str">
        <f t="shared" si="18"/>
        <v/>
      </c>
      <c r="B112" s="583" t="str">
        <f t="shared" si="19"/>
        <v/>
      </c>
      <c r="C112" s="825" t="str">
        <f t="shared" si="20"/>
        <v/>
      </c>
      <c r="D112" s="826"/>
      <c r="E112" s="115" t="str">
        <f t="shared" si="21"/>
        <v/>
      </c>
      <c r="F112" s="266" t="str">
        <f t="shared" si="22"/>
        <v/>
      </c>
      <c r="G112" s="116" t="str">
        <f t="shared" si="23"/>
        <v/>
      </c>
      <c r="H112" s="288" t="str">
        <f t="shared" si="24"/>
        <v/>
      </c>
      <c r="I112" s="469" t="str">
        <f t="shared" si="25"/>
        <v/>
      </c>
      <c r="J112" s="648" t="str">
        <f t="shared" si="26"/>
        <v/>
      </c>
      <c r="K112" s="265" t="str">
        <f t="shared" si="27"/>
        <v/>
      </c>
      <c r="L112" s="117" t="str">
        <f t="shared" si="28"/>
        <v/>
      </c>
      <c r="M112" s="118" t="str">
        <f t="shared" si="29"/>
        <v/>
      </c>
      <c r="N112" s="266" t="str">
        <f t="shared" si="30"/>
        <v/>
      </c>
      <c r="O112" s="118" t="str">
        <f t="shared" si="31"/>
        <v/>
      </c>
      <c r="P112" s="184" t="str">
        <f t="shared" si="32"/>
        <v/>
      </c>
      <c r="Q112" s="317" t="str">
        <f t="shared" si="33"/>
        <v/>
      </c>
      <c r="R112" s="31"/>
      <c r="S112" s="396">
        <f t="shared" si="34"/>
        <v>0</v>
      </c>
      <c r="T112" s="396">
        <f t="shared" si="35"/>
        <v>0</v>
      </c>
      <c r="U112" s="425"/>
      <c r="V112" s="31"/>
      <c r="W112" s="80"/>
      <c r="X112" s="80"/>
      <c r="Y112" s="80"/>
      <c r="Z112" s="80"/>
      <c r="AA112" s="80"/>
      <c r="AB112" s="31"/>
      <c r="AC112" s="31"/>
      <c r="AD112" s="31"/>
      <c r="AE112" s="31"/>
      <c r="AK112" s="31"/>
      <c r="AL112" s="31"/>
    </row>
    <row r="113" spans="1:38" ht="12.75" customHeight="1" x14ac:dyDescent="0.25">
      <c r="A113" s="148" t="str">
        <f t="shared" si="18"/>
        <v/>
      </c>
      <c r="B113" s="583" t="str">
        <f t="shared" si="19"/>
        <v/>
      </c>
      <c r="C113" s="825" t="str">
        <f t="shared" si="20"/>
        <v/>
      </c>
      <c r="D113" s="826"/>
      <c r="E113" s="115" t="str">
        <f t="shared" si="21"/>
        <v/>
      </c>
      <c r="F113" s="266" t="str">
        <f t="shared" si="22"/>
        <v/>
      </c>
      <c r="G113" s="116" t="str">
        <f t="shared" si="23"/>
        <v/>
      </c>
      <c r="H113" s="288" t="str">
        <f t="shared" si="24"/>
        <v/>
      </c>
      <c r="I113" s="469" t="str">
        <f t="shared" si="25"/>
        <v/>
      </c>
      <c r="J113" s="648" t="str">
        <f t="shared" si="26"/>
        <v/>
      </c>
      <c r="K113" s="265" t="str">
        <f t="shared" si="27"/>
        <v/>
      </c>
      <c r="L113" s="117" t="str">
        <f t="shared" si="28"/>
        <v/>
      </c>
      <c r="M113" s="118" t="str">
        <f t="shared" si="29"/>
        <v/>
      </c>
      <c r="N113" s="266" t="str">
        <f t="shared" si="30"/>
        <v/>
      </c>
      <c r="O113" s="118" t="str">
        <f t="shared" si="31"/>
        <v/>
      </c>
      <c r="P113" s="184" t="str">
        <f t="shared" si="32"/>
        <v/>
      </c>
      <c r="Q113" s="317" t="str">
        <f t="shared" si="33"/>
        <v/>
      </c>
      <c r="R113" s="31"/>
      <c r="S113" s="396">
        <f t="shared" si="34"/>
        <v>0</v>
      </c>
      <c r="T113" s="396">
        <f t="shared" si="35"/>
        <v>0</v>
      </c>
      <c r="U113" s="425"/>
      <c r="V113" s="31"/>
      <c r="W113" s="80"/>
      <c r="X113" s="80"/>
      <c r="Y113" s="80"/>
      <c r="Z113" s="80"/>
      <c r="AA113" s="80"/>
      <c r="AB113" s="31"/>
      <c r="AC113" s="31"/>
      <c r="AD113" s="31"/>
      <c r="AE113" s="31"/>
      <c r="AK113" s="31"/>
      <c r="AL113" s="31"/>
    </row>
    <row r="114" spans="1:38" ht="12.75" customHeight="1" x14ac:dyDescent="0.25">
      <c r="A114" s="148" t="str">
        <f t="shared" si="18"/>
        <v/>
      </c>
      <c r="B114" s="583" t="str">
        <f t="shared" si="19"/>
        <v/>
      </c>
      <c r="C114" s="825" t="str">
        <f t="shared" si="20"/>
        <v/>
      </c>
      <c r="D114" s="826"/>
      <c r="E114" s="115" t="str">
        <f t="shared" si="21"/>
        <v/>
      </c>
      <c r="F114" s="266" t="str">
        <f t="shared" si="22"/>
        <v/>
      </c>
      <c r="G114" s="116" t="str">
        <f t="shared" si="23"/>
        <v/>
      </c>
      <c r="H114" s="288" t="str">
        <f t="shared" si="24"/>
        <v/>
      </c>
      <c r="I114" s="469" t="str">
        <f t="shared" si="25"/>
        <v/>
      </c>
      <c r="J114" s="648" t="str">
        <f t="shared" si="26"/>
        <v/>
      </c>
      <c r="K114" s="265" t="str">
        <f t="shared" si="27"/>
        <v/>
      </c>
      <c r="L114" s="117" t="str">
        <f t="shared" si="28"/>
        <v/>
      </c>
      <c r="M114" s="118" t="str">
        <f t="shared" si="29"/>
        <v/>
      </c>
      <c r="N114" s="266" t="str">
        <f t="shared" si="30"/>
        <v/>
      </c>
      <c r="O114" s="118" t="str">
        <f t="shared" si="31"/>
        <v/>
      </c>
      <c r="P114" s="184" t="str">
        <f t="shared" si="32"/>
        <v/>
      </c>
      <c r="Q114" s="317" t="str">
        <f t="shared" si="33"/>
        <v/>
      </c>
      <c r="R114" s="31"/>
      <c r="S114" s="396">
        <f t="shared" si="34"/>
        <v>0</v>
      </c>
      <c r="T114" s="396">
        <f t="shared" si="35"/>
        <v>0</v>
      </c>
      <c r="U114" s="425"/>
      <c r="V114" s="31"/>
      <c r="W114" s="80"/>
      <c r="X114" s="80"/>
      <c r="Y114" s="80"/>
      <c r="Z114" s="80"/>
      <c r="AA114" s="80"/>
      <c r="AB114" s="31"/>
      <c r="AC114" s="31"/>
      <c r="AD114" s="31"/>
      <c r="AE114" s="31"/>
      <c r="AK114" s="31"/>
      <c r="AL114" s="31"/>
    </row>
    <row r="115" spans="1:38" ht="12.75" customHeight="1" x14ac:dyDescent="0.25">
      <c r="A115" s="148" t="str">
        <f t="shared" si="18"/>
        <v/>
      </c>
      <c r="B115" s="583" t="str">
        <f t="shared" si="19"/>
        <v/>
      </c>
      <c r="C115" s="825" t="str">
        <f t="shared" si="20"/>
        <v/>
      </c>
      <c r="D115" s="826"/>
      <c r="E115" s="115" t="str">
        <f t="shared" si="21"/>
        <v/>
      </c>
      <c r="F115" s="266" t="str">
        <f t="shared" si="22"/>
        <v/>
      </c>
      <c r="G115" s="116" t="str">
        <f t="shared" si="23"/>
        <v/>
      </c>
      <c r="H115" s="288" t="str">
        <f t="shared" si="24"/>
        <v/>
      </c>
      <c r="I115" s="469" t="str">
        <f t="shared" si="25"/>
        <v/>
      </c>
      <c r="J115" s="648" t="str">
        <f t="shared" si="26"/>
        <v/>
      </c>
      <c r="K115" s="265" t="str">
        <f t="shared" si="27"/>
        <v/>
      </c>
      <c r="L115" s="117" t="str">
        <f t="shared" si="28"/>
        <v/>
      </c>
      <c r="M115" s="118" t="str">
        <f t="shared" si="29"/>
        <v/>
      </c>
      <c r="N115" s="266" t="str">
        <f t="shared" si="30"/>
        <v/>
      </c>
      <c r="O115" s="118" t="str">
        <f t="shared" si="31"/>
        <v/>
      </c>
      <c r="P115" s="184" t="str">
        <f t="shared" si="32"/>
        <v/>
      </c>
      <c r="Q115" s="317" t="str">
        <f t="shared" si="33"/>
        <v/>
      </c>
      <c r="R115" s="31"/>
      <c r="S115" s="396">
        <f t="shared" si="34"/>
        <v>0</v>
      </c>
      <c r="T115" s="396">
        <f t="shared" si="35"/>
        <v>0</v>
      </c>
      <c r="U115" s="425"/>
      <c r="V115" s="31"/>
      <c r="W115" s="80"/>
      <c r="X115" s="80"/>
      <c r="Y115" s="80"/>
      <c r="Z115" s="80"/>
      <c r="AA115" s="80"/>
      <c r="AB115" s="31"/>
      <c r="AC115" s="31"/>
      <c r="AD115" s="31"/>
      <c r="AE115" s="31"/>
      <c r="AK115" s="31"/>
      <c r="AL115" s="31"/>
    </row>
    <row r="116" spans="1:38" ht="12.75" customHeight="1" x14ac:dyDescent="0.25">
      <c r="A116" s="148" t="str">
        <f t="shared" si="18"/>
        <v/>
      </c>
      <c r="B116" s="583" t="str">
        <f t="shared" si="19"/>
        <v/>
      </c>
      <c r="C116" s="825" t="str">
        <f t="shared" si="20"/>
        <v/>
      </c>
      <c r="D116" s="826"/>
      <c r="E116" s="115" t="str">
        <f t="shared" si="21"/>
        <v/>
      </c>
      <c r="F116" s="266" t="str">
        <f t="shared" si="22"/>
        <v/>
      </c>
      <c r="G116" s="116" t="str">
        <f t="shared" si="23"/>
        <v/>
      </c>
      <c r="H116" s="288" t="str">
        <f t="shared" si="24"/>
        <v/>
      </c>
      <c r="I116" s="469" t="str">
        <f t="shared" si="25"/>
        <v/>
      </c>
      <c r="J116" s="648" t="str">
        <f t="shared" si="26"/>
        <v/>
      </c>
      <c r="K116" s="265" t="str">
        <f t="shared" si="27"/>
        <v/>
      </c>
      <c r="L116" s="117" t="str">
        <f t="shared" si="28"/>
        <v/>
      </c>
      <c r="M116" s="118" t="str">
        <f t="shared" si="29"/>
        <v/>
      </c>
      <c r="N116" s="266" t="str">
        <f t="shared" si="30"/>
        <v/>
      </c>
      <c r="O116" s="118" t="str">
        <f t="shared" si="31"/>
        <v/>
      </c>
      <c r="P116" s="184" t="str">
        <f t="shared" si="32"/>
        <v/>
      </c>
      <c r="Q116" s="317" t="str">
        <f t="shared" si="33"/>
        <v/>
      </c>
      <c r="R116" s="31"/>
      <c r="S116" s="396">
        <f t="shared" si="34"/>
        <v>0</v>
      </c>
      <c r="T116" s="396">
        <f t="shared" si="35"/>
        <v>0</v>
      </c>
      <c r="U116" s="425"/>
      <c r="V116" s="31"/>
      <c r="W116" s="80"/>
      <c r="X116" s="80"/>
      <c r="Y116" s="80"/>
      <c r="Z116" s="80"/>
      <c r="AA116" s="80"/>
      <c r="AB116" s="31"/>
      <c r="AC116" s="31"/>
      <c r="AD116" s="31"/>
      <c r="AE116" s="31"/>
      <c r="AK116" s="31"/>
      <c r="AL116" s="31"/>
    </row>
    <row r="117" spans="1:38" ht="12.75" customHeight="1" x14ac:dyDescent="0.25">
      <c r="A117" s="148" t="str">
        <f t="shared" si="18"/>
        <v/>
      </c>
      <c r="B117" s="583" t="str">
        <f t="shared" si="19"/>
        <v/>
      </c>
      <c r="C117" s="825" t="str">
        <f t="shared" si="20"/>
        <v/>
      </c>
      <c r="D117" s="826"/>
      <c r="E117" s="115" t="str">
        <f t="shared" si="21"/>
        <v/>
      </c>
      <c r="F117" s="266" t="str">
        <f t="shared" si="22"/>
        <v/>
      </c>
      <c r="G117" s="116" t="str">
        <f t="shared" si="23"/>
        <v/>
      </c>
      <c r="H117" s="288" t="str">
        <f t="shared" si="24"/>
        <v/>
      </c>
      <c r="I117" s="469" t="str">
        <f t="shared" si="25"/>
        <v/>
      </c>
      <c r="J117" s="648" t="str">
        <f t="shared" si="26"/>
        <v/>
      </c>
      <c r="K117" s="265" t="str">
        <f t="shared" si="27"/>
        <v/>
      </c>
      <c r="L117" s="117" t="str">
        <f t="shared" si="28"/>
        <v/>
      </c>
      <c r="M117" s="118" t="str">
        <f t="shared" si="29"/>
        <v/>
      </c>
      <c r="N117" s="266" t="str">
        <f t="shared" si="30"/>
        <v/>
      </c>
      <c r="O117" s="118" t="str">
        <f t="shared" si="31"/>
        <v/>
      </c>
      <c r="P117" s="184" t="str">
        <f t="shared" si="32"/>
        <v/>
      </c>
      <c r="Q117" s="317" t="str">
        <f t="shared" si="33"/>
        <v/>
      </c>
      <c r="R117" s="31"/>
      <c r="S117" s="396">
        <f t="shared" si="34"/>
        <v>0</v>
      </c>
      <c r="T117" s="396">
        <f t="shared" si="35"/>
        <v>0</v>
      </c>
      <c r="U117" s="425"/>
      <c r="V117" s="31"/>
      <c r="W117" s="80"/>
      <c r="X117" s="80"/>
      <c r="Y117" s="80"/>
      <c r="Z117" s="80"/>
      <c r="AA117" s="80"/>
      <c r="AB117" s="31"/>
      <c r="AC117" s="31"/>
      <c r="AD117" s="31"/>
      <c r="AE117" s="31"/>
      <c r="AK117" s="31"/>
      <c r="AL117" s="31"/>
    </row>
    <row r="118" spans="1:38" ht="12.75" customHeight="1" x14ac:dyDescent="0.25">
      <c r="A118" s="148" t="str">
        <f t="shared" si="18"/>
        <v/>
      </c>
      <c r="B118" s="583" t="str">
        <f t="shared" si="19"/>
        <v/>
      </c>
      <c r="C118" s="825" t="str">
        <f t="shared" si="20"/>
        <v/>
      </c>
      <c r="D118" s="826"/>
      <c r="E118" s="115" t="str">
        <f t="shared" si="21"/>
        <v/>
      </c>
      <c r="F118" s="266" t="str">
        <f t="shared" si="22"/>
        <v/>
      </c>
      <c r="G118" s="116" t="str">
        <f t="shared" si="23"/>
        <v/>
      </c>
      <c r="H118" s="288" t="str">
        <f t="shared" si="24"/>
        <v/>
      </c>
      <c r="I118" s="587" t="str">
        <f t="shared" si="25"/>
        <v/>
      </c>
      <c r="J118" s="648" t="str">
        <f t="shared" si="26"/>
        <v/>
      </c>
      <c r="K118" s="265" t="str">
        <f t="shared" si="27"/>
        <v/>
      </c>
      <c r="L118" s="117" t="str">
        <f t="shared" si="28"/>
        <v/>
      </c>
      <c r="M118" s="118" t="str">
        <f t="shared" si="29"/>
        <v/>
      </c>
      <c r="N118" s="266" t="str">
        <f t="shared" si="30"/>
        <v/>
      </c>
      <c r="O118" s="118" t="str">
        <f t="shared" si="31"/>
        <v/>
      </c>
      <c r="P118" s="184" t="str">
        <f t="shared" si="32"/>
        <v/>
      </c>
      <c r="Q118" s="586" t="str">
        <f t="shared" si="33"/>
        <v/>
      </c>
      <c r="R118" s="31"/>
      <c r="S118" s="396">
        <f t="shared" si="34"/>
        <v>0</v>
      </c>
      <c r="T118" s="396">
        <f t="shared" si="35"/>
        <v>0</v>
      </c>
      <c r="U118" s="425"/>
      <c r="V118" s="31"/>
      <c r="W118" s="80"/>
      <c r="X118" s="80"/>
      <c r="Y118" s="80"/>
      <c r="Z118" s="80"/>
      <c r="AA118" s="80"/>
      <c r="AB118" s="31"/>
      <c r="AC118" s="31"/>
      <c r="AD118" s="31"/>
      <c r="AE118" s="31"/>
      <c r="AK118" s="31"/>
      <c r="AL118" s="31"/>
    </row>
    <row r="119" spans="1:38" ht="12.75" customHeight="1" x14ac:dyDescent="0.25">
      <c r="A119" s="122" t="s">
        <v>50</v>
      </c>
      <c r="B119" s="249"/>
      <c r="C119" s="882">
        <f>SUM(C79:C118)</f>
        <v>0</v>
      </c>
      <c r="D119" s="883"/>
      <c r="E119" s="150">
        <f>SUM(E79:E118)</f>
        <v>0</v>
      </c>
      <c r="F119" s="150"/>
      <c r="G119" s="123">
        <f t="shared" ref="G119" si="38">C119+E119</f>
        <v>0</v>
      </c>
      <c r="H119" s="124"/>
      <c r="I119" s="319"/>
      <c r="J119" s="584" t="s">
        <v>46</v>
      </c>
      <c r="K119" s="250"/>
      <c r="L119" s="117">
        <f>SUM(L79:L118)</f>
        <v>0</v>
      </c>
      <c r="M119" s="151">
        <f>SUM(M79:M118)</f>
        <v>0</v>
      </c>
      <c r="N119" s="117"/>
      <c r="O119" s="117">
        <f t="shared" ref="O119" si="39">L119+M119</f>
        <v>0</v>
      </c>
      <c r="P119" s="80"/>
      <c r="Q119" s="80"/>
      <c r="R119" s="31"/>
      <c r="S119" s="417">
        <f>SUM(S79:S118)</f>
        <v>0</v>
      </c>
      <c r="T119" s="417">
        <f>SUM(T79:T118)</f>
        <v>0</v>
      </c>
      <c r="U119" s="427"/>
      <c r="V119" s="31"/>
      <c r="W119" s="80"/>
      <c r="X119" s="80"/>
      <c r="Y119" s="80"/>
      <c r="Z119" s="80"/>
      <c r="AA119" s="80"/>
      <c r="AB119" s="31"/>
      <c r="AC119" s="31"/>
      <c r="AD119" s="31"/>
      <c r="AE119" s="31"/>
      <c r="AF119" s="31"/>
      <c r="AG119" s="19"/>
    </row>
    <row r="120" spans="1:38" ht="12.75" customHeight="1" x14ac:dyDescent="0.25">
      <c r="A120" s="124"/>
      <c r="B120" s="126"/>
      <c r="C120" s="126"/>
      <c r="D120" s="126"/>
      <c r="E120" s="124"/>
      <c r="F120" s="124"/>
      <c r="G120" s="124"/>
      <c r="H120" s="124"/>
      <c r="I120" s="31"/>
      <c r="J120" s="124"/>
      <c r="K120" s="124"/>
      <c r="L120" s="124"/>
      <c r="M120" s="124"/>
      <c r="N120" s="80"/>
      <c r="O120" s="80"/>
      <c r="P120" s="31"/>
      <c r="Q120" s="31"/>
      <c r="R120" s="31"/>
      <c r="S120" s="31"/>
      <c r="T120" s="31"/>
      <c r="U120" s="31"/>
      <c r="V120" s="31"/>
      <c r="W120" s="80"/>
      <c r="X120" s="80"/>
      <c r="Y120" s="80"/>
      <c r="Z120" s="80"/>
      <c r="AA120" s="80"/>
      <c r="AB120" s="31"/>
      <c r="AC120" s="31"/>
      <c r="AD120" s="31"/>
      <c r="AE120" s="127"/>
      <c r="AF120" s="31"/>
      <c r="AG120" s="19"/>
    </row>
    <row r="121" spans="1:38" ht="12.75" customHeight="1" x14ac:dyDescent="0.25">
      <c r="A121" s="124"/>
      <c r="B121" s="126"/>
      <c r="C121" s="126"/>
      <c r="D121" s="126"/>
      <c r="E121" s="124"/>
      <c r="F121" s="124"/>
      <c r="G121" s="124"/>
      <c r="H121" s="124"/>
      <c r="I121" s="31"/>
      <c r="J121" s="124"/>
      <c r="K121" s="124"/>
      <c r="L121" s="124"/>
      <c r="M121" s="124"/>
      <c r="N121" s="97"/>
      <c r="O121" s="97"/>
      <c r="P121" s="31"/>
      <c r="Q121" s="31"/>
      <c r="R121" s="31"/>
      <c r="S121" s="31"/>
      <c r="T121" s="31"/>
      <c r="U121" s="31"/>
      <c r="V121" s="31"/>
      <c r="W121" s="80"/>
      <c r="X121" s="80"/>
      <c r="Y121" s="80"/>
      <c r="Z121" s="80"/>
      <c r="AA121" s="80"/>
      <c r="AB121" s="31"/>
      <c r="AC121" s="31"/>
      <c r="AD121" s="31"/>
      <c r="AE121" s="127"/>
      <c r="AF121" s="31"/>
      <c r="AG121" s="19"/>
    </row>
    <row r="122" spans="1:38" ht="12.75" customHeight="1" x14ac:dyDescent="0.25">
      <c r="A122" s="877" t="s">
        <v>0</v>
      </c>
      <c r="B122" s="878"/>
      <c r="C122" s="878"/>
      <c r="D122" s="878"/>
      <c r="E122" s="878"/>
      <c r="F122" s="878"/>
      <c r="G122" s="878"/>
      <c r="H122" s="878"/>
      <c r="I122" s="878"/>
      <c r="J122" s="878"/>
      <c r="K122" s="878"/>
      <c r="L122" s="878"/>
      <c r="M122" s="878"/>
      <c r="N122" s="878"/>
      <c r="O122" s="878"/>
      <c r="P122" s="31"/>
      <c r="Q122" s="31"/>
      <c r="R122" s="99" t="s">
        <v>51</v>
      </c>
      <c r="S122" s="31"/>
      <c r="T122" s="31"/>
      <c r="U122" s="31"/>
      <c r="V122" s="31"/>
      <c r="W122" s="80"/>
      <c r="X122" s="80"/>
      <c r="Y122" s="80"/>
      <c r="Z122" s="80"/>
      <c r="AA122" s="80"/>
      <c r="AB122" s="31"/>
      <c r="AC122" s="31"/>
      <c r="AD122" s="31"/>
      <c r="AE122" s="127"/>
      <c r="AF122" s="31"/>
      <c r="AG122" s="19"/>
    </row>
    <row r="123" spans="1:38" ht="12.75" customHeight="1" x14ac:dyDescent="0.25">
      <c r="A123" s="877" t="s">
        <v>142</v>
      </c>
      <c r="B123" s="878"/>
      <c r="C123" s="878"/>
      <c r="D123" s="878"/>
      <c r="E123" s="878"/>
      <c r="F123" s="878"/>
      <c r="G123" s="878"/>
      <c r="H123" s="878"/>
      <c r="I123" s="878"/>
      <c r="J123" s="878"/>
      <c r="K123" s="878"/>
      <c r="L123" s="878"/>
      <c r="M123" s="878"/>
      <c r="N123" s="878"/>
      <c r="O123" s="878"/>
      <c r="P123" s="31"/>
      <c r="Q123" s="31"/>
      <c r="R123" s="84" t="str">
        <f>$R$69</f>
        <v>Year or</v>
      </c>
      <c r="S123" s="31"/>
      <c r="T123" s="31"/>
      <c r="U123" s="31"/>
      <c r="V123" s="31"/>
      <c r="W123" s="80"/>
      <c r="X123" s="80"/>
      <c r="Y123" s="80"/>
      <c r="Z123" s="80"/>
      <c r="AA123" s="80"/>
      <c r="AB123" s="31"/>
      <c r="AC123" s="31"/>
      <c r="AD123" s="31"/>
      <c r="AE123" s="127"/>
      <c r="AF123" s="31"/>
      <c r="AG123" s="19"/>
    </row>
    <row r="124" spans="1:38" ht="12.75" customHeight="1" x14ac:dyDescent="0.25">
      <c r="A124" s="98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31"/>
      <c r="Q124" s="31"/>
      <c r="R124" s="80" t="str">
        <f>$R$70</f>
        <v>Portion of</v>
      </c>
      <c r="S124" s="31"/>
      <c r="T124" s="31"/>
      <c r="U124" s="31"/>
      <c r="V124" s="31"/>
      <c r="W124" s="80"/>
      <c r="X124" s="80"/>
      <c r="Y124" s="80"/>
      <c r="Z124" s="80"/>
      <c r="AA124" s="80"/>
      <c r="AB124" s="31"/>
      <c r="AC124" s="31"/>
      <c r="AD124" s="31"/>
      <c r="AE124" s="127"/>
      <c r="AF124" s="31"/>
      <c r="AG124" s="19"/>
    </row>
    <row r="125" spans="1:38" ht="12.75" customHeight="1" x14ac:dyDescent="0.25">
      <c r="A125" s="31"/>
      <c r="B125" s="87"/>
      <c r="C125" s="87" t="s">
        <v>6</v>
      </c>
      <c r="D125" s="87"/>
      <c r="E125" s="31"/>
      <c r="F125" s="31"/>
      <c r="G125" s="863" t="str">
        <f>IF(totalyrs&gt;3,IF(E5=0,"",E5),"")</f>
        <v/>
      </c>
      <c r="H125" s="863"/>
      <c r="I125" s="863"/>
      <c r="J125" s="863"/>
      <c r="K125" s="863"/>
      <c r="L125" s="863"/>
      <c r="M125" s="31"/>
      <c r="N125" s="31"/>
      <c r="O125" s="31"/>
      <c r="P125" s="31"/>
      <c r="Q125" s="31"/>
      <c r="R125" s="80" t="str">
        <f>$R$71</f>
        <v>a Year</v>
      </c>
      <c r="S125" s="31"/>
      <c r="T125" s="31"/>
      <c r="U125" s="31"/>
      <c r="V125" s="31"/>
      <c r="W125" s="80"/>
      <c r="X125" s="80"/>
      <c r="Y125" s="80"/>
      <c r="Z125" s="80"/>
      <c r="AA125" s="80"/>
      <c r="AB125" s="31"/>
      <c r="AC125" s="31"/>
      <c r="AD125" s="31"/>
      <c r="AE125" s="127"/>
      <c r="AF125" s="31"/>
      <c r="AG125" s="19"/>
    </row>
    <row r="126" spans="1:38" ht="12.75" customHeight="1" x14ac:dyDescent="0.25">
      <c r="A126" s="31"/>
      <c r="B126" s="87"/>
      <c r="C126" s="87" t="s">
        <v>8</v>
      </c>
      <c r="D126" s="87"/>
      <c r="E126" s="31"/>
      <c r="F126" s="31"/>
      <c r="G126" s="863" t="str">
        <f>IF(totalyrs&gt;3,IF(E6=0,"",E6),"")</f>
        <v/>
      </c>
      <c r="H126" s="863"/>
      <c r="I126" s="863"/>
      <c r="J126" s="863"/>
      <c r="K126" s="863"/>
      <c r="L126" s="863"/>
      <c r="M126" s="31"/>
      <c r="N126" s="31"/>
      <c r="O126" s="31"/>
      <c r="P126" s="31"/>
      <c r="Q126" s="31"/>
      <c r="R126" s="119">
        <f>IF(AND(totalyrs&gt;3,totalyrs&lt;4),totalyrs-3,1)</f>
        <v>1</v>
      </c>
      <c r="S126" s="132" t="s">
        <v>54</v>
      </c>
      <c r="T126" s="31"/>
      <c r="U126" s="31"/>
      <c r="V126" s="31"/>
      <c r="W126" s="80"/>
      <c r="X126" s="80"/>
      <c r="Y126" s="80"/>
      <c r="Z126" s="80"/>
      <c r="AA126" s="80"/>
      <c r="AB126" s="31"/>
      <c r="AC126" s="31"/>
      <c r="AD126" s="31"/>
      <c r="AE126" s="127"/>
      <c r="AF126" s="31"/>
      <c r="AG126" s="19"/>
    </row>
    <row r="127" spans="1:38" ht="12.75" customHeight="1" x14ac:dyDescent="0.25">
      <c r="A127" s="31"/>
      <c r="B127" s="87"/>
      <c r="C127" s="87" t="s">
        <v>122</v>
      </c>
      <c r="D127" s="87"/>
      <c r="E127" s="31"/>
      <c r="F127" s="31"/>
      <c r="G127" s="863" t="str">
        <f>IF(totalyrs&gt;3,IF(E7=0,"",E7),"")</f>
        <v/>
      </c>
      <c r="H127" s="863"/>
      <c r="I127" s="863"/>
      <c r="J127" s="863"/>
      <c r="K127" s="863"/>
      <c r="L127" s="863"/>
      <c r="M127" s="31"/>
      <c r="N127" s="31"/>
      <c r="O127" s="31"/>
      <c r="P127" s="31"/>
      <c r="Q127" s="31"/>
      <c r="R127" s="119">
        <f>IF(AND(totalyrs&gt;4,totalyrs&lt;5),totalyrs-4,1)</f>
        <v>1</v>
      </c>
      <c r="S127" s="120" t="s">
        <v>55</v>
      </c>
      <c r="T127" s="31"/>
      <c r="U127" s="31"/>
      <c r="V127" s="31"/>
      <c r="W127" s="80"/>
      <c r="X127" s="80"/>
      <c r="Y127" s="80"/>
      <c r="Z127" s="80"/>
      <c r="AA127" s="80"/>
      <c r="AB127" s="31"/>
      <c r="AC127" s="31"/>
      <c r="AD127" s="31"/>
      <c r="AE127" s="127"/>
      <c r="AF127" s="31"/>
      <c r="AG127" s="19"/>
    </row>
    <row r="128" spans="1:38" ht="12.75" customHeight="1" x14ac:dyDescent="0.25">
      <c r="A128" s="31"/>
      <c r="B128" s="87"/>
      <c r="C128" s="87" t="s">
        <v>10</v>
      </c>
      <c r="D128" s="87"/>
      <c r="E128" s="31"/>
      <c r="F128" s="31"/>
      <c r="G128" s="863" t="str">
        <f>IF(totalyrs&gt;3,IF(E8=0,"",E8),"")</f>
        <v/>
      </c>
      <c r="H128" s="863"/>
      <c r="I128" s="863"/>
      <c r="J128" s="863"/>
      <c r="K128" s="863"/>
      <c r="L128" s="863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80"/>
      <c r="X128" s="80"/>
      <c r="Y128" s="80"/>
      <c r="Z128" s="80"/>
      <c r="AA128" s="80"/>
      <c r="AB128" s="31"/>
      <c r="AC128" s="31"/>
      <c r="AD128" s="31"/>
      <c r="AE128" s="31"/>
      <c r="AF128" s="31"/>
      <c r="AG128" s="19"/>
    </row>
    <row r="129" spans="1:38" ht="12.75" customHeight="1" x14ac:dyDescent="0.25">
      <c r="A129" s="31"/>
      <c r="B129" s="87"/>
      <c r="C129" s="87"/>
      <c r="D129" s="87"/>
      <c r="E129" s="31"/>
      <c r="F129" s="31"/>
      <c r="G129" s="128"/>
      <c r="H129" s="128"/>
      <c r="I129" s="124"/>
      <c r="J129" s="30"/>
      <c r="K129" s="124"/>
      <c r="L129" s="124"/>
      <c r="M129" s="124"/>
      <c r="N129" s="31"/>
      <c r="O129" s="31"/>
      <c r="P129" s="80"/>
      <c r="Q129" s="80"/>
      <c r="R129" s="31"/>
      <c r="S129" s="403" t="s">
        <v>52</v>
      </c>
      <c r="T129" s="403" t="s">
        <v>53</v>
      </c>
      <c r="U129" s="426"/>
      <c r="V129" s="31"/>
      <c r="W129" s="80"/>
      <c r="X129" s="80"/>
      <c r="Y129" s="80"/>
      <c r="Z129" s="80"/>
      <c r="AA129" s="80"/>
      <c r="AB129" s="31"/>
      <c r="AC129" s="31"/>
      <c r="AD129" s="31"/>
      <c r="AE129" s="31"/>
      <c r="AF129" s="31"/>
      <c r="AG129" s="19"/>
    </row>
    <row r="130" spans="1:38" ht="12.75" customHeight="1" x14ac:dyDescent="0.3">
      <c r="A130" s="100"/>
      <c r="B130" s="305" t="s">
        <v>209</v>
      </c>
      <c r="C130" s="830" t="s">
        <v>52</v>
      </c>
      <c r="D130" s="831"/>
      <c r="E130" s="832"/>
      <c r="F130" s="832"/>
      <c r="G130" s="832"/>
      <c r="H130" s="104" t="s">
        <v>109</v>
      </c>
      <c r="I130" s="310" t="s">
        <v>28</v>
      </c>
      <c r="J130" s="284"/>
      <c r="K130" s="309" t="s">
        <v>209</v>
      </c>
      <c r="L130" s="102" t="s">
        <v>53</v>
      </c>
      <c r="M130" s="103"/>
      <c r="N130" s="103"/>
      <c r="O130" s="103"/>
      <c r="P130" s="285" t="s">
        <v>109</v>
      </c>
      <c r="Q130" s="311" t="s">
        <v>28</v>
      </c>
      <c r="S130" s="407" t="s">
        <v>276</v>
      </c>
      <c r="T130" s="407" t="s">
        <v>276</v>
      </c>
      <c r="U130" s="426"/>
      <c r="V130" s="99"/>
      <c r="W130" s="99"/>
      <c r="X130" s="99"/>
      <c r="Y130" s="99"/>
      <c r="Z130" s="99"/>
      <c r="AA130" s="99"/>
      <c r="AB130" s="99"/>
      <c r="AC130" s="99"/>
      <c r="AD130" s="99"/>
      <c r="AE130" s="31"/>
      <c r="AF130" s="31"/>
      <c r="AG130" s="19"/>
    </row>
    <row r="131" spans="1:38" ht="12.75" customHeight="1" x14ac:dyDescent="0.3">
      <c r="A131" s="300" t="s">
        <v>226</v>
      </c>
      <c r="B131" s="301" t="s">
        <v>131</v>
      </c>
      <c r="C131" s="821" t="s">
        <v>29</v>
      </c>
      <c r="D131" s="822"/>
      <c r="E131" s="299"/>
      <c r="F131" s="299" t="s">
        <v>228</v>
      </c>
      <c r="G131" s="295"/>
      <c r="H131" s="107" t="s">
        <v>110</v>
      </c>
      <c r="I131" s="301" t="s">
        <v>132</v>
      </c>
      <c r="J131" s="313" t="s">
        <v>226</v>
      </c>
      <c r="K131" s="295" t="s">
        <v>131</v>
      </c>
      <c r="L131" s="301" t="str">
        <f>C131</f>
        <v>Salary</v>
      </c>
      <c r="M131" s="299"/>
      <c r="N131" s="295" t="s">
        <v>228</v>
      </c>
      <c r="O131" s="295"/>
      <c r="P131" s="107" t="s">
        <v>110</v>
      </c>
      <c r="Q131" s="299" t="s">
        <v>132</v>
      </c>
      <c r="S131" s="407" t="s">
        <v>316</v>
      </c>
      <c r="T131" s="407" t="s">
        <v>316</v>
      </c>
      <c r="U131" s="426"/>
      <c r="V131" s="84"/>
      <c r="W131" s="84"/>
      <c r="X131" s="84"/>
      <c r="Y131" s="84"/>
      <c r="Z131" s="84"/>
      <c r="AA131" s="84"/>
      <c r="AB131" s="84"/>
      <c r="AC131" s="84"/>
      <c r="AD131" s="84"/>
      <c r="AE131" s="31"/>
      <c r="AF131" s="31"/>
      <c r="AG131" s="19"/>
    </row>
    <row r="132" spans="1:38" ht="12.75" customHeight="1" x14ac:dyDescent="0.3">
      <c r="A132" s="302" t="s">
        <v>225</v>
      </c>
      <c r="B132" s="304" t="s">
        <v>224</v>
      </c>
      <c r="C132" s="879" t="s">
        <v>34</v>
      </c>
      <c r="D132" s="880"/>
      <c r="E132" s="296" t="s">
        <v>30</v>
      </c>
      <c r="F132" s="296" t="s">
        <v>229</v>
      </c>
      <c r="G132" s="296" t="s">
        <v>24</v>
      </c>
      <c r="H132" s="286" t="s">
        <v>33</v>
      </c>
      <c r="I132" s="301" t="s">
        <v>52</v>
      </c>
      <c r="J132" s="314" t="s">
        <v>225</v>
      </c>
      <c r="K132" s="295" t="s">
        <v>224</v>
      </c>
      <c r="L132" s="303" t="str">
        <f>C132</f>
        <v>Requested</v>
      </c>
      <c r="M132" s="296" t="str">
        <f>E132</f>
        <v>Benefits</v>
      </c>
      <c r="N132" s="296" t="s">
        <v>230</v>
      </c>
      <c r="O132" s="296" t="s">
        <v>24</v>
      </c>
      <c r="P132" s="286" t="s">
        <v>33</v>
      </c>
      <c r="Q132" s="312" t="s">
        <v>53</v>
      </c>
      <c r="S132" s="408" t="s">
        <v>301</v>
      </c>
      <c r="T132" s="408" t="s">
        <v>301</v>
      </c>
      <c r="U132" s="426"/>
      <c r="V132" s="80"/>
      <c r="W132" s="80"/>
      <c r="X132" s="80"/>
      <c r="Y132" s="80"/>
      <c r="Z132" s="80"/>
      <c r="AA132" s="80"/>
      <c r="AB132" s="80"/>
      <c r="AC132" s="80"/>
      <c r="AD132" s="80"/>
      <c r="AE132" s="31"/>
      <c r="AF132" s="31"/>
      <c r="AG132" s="19"/>
    </row>
    <row r="133" spans="1:38" ht="12.75" customHeight="1" x14ac:dyDescent="0.25">
      <c r="A133" s="114" t="str">
        <f t="shared" ref="A133:A172" si="40">IF(totalyrs&gt;3,IF(A24=0,"",A24),"")</f>
        <v/>
      </c>
      <c r="B133" s="265" t="str">
        <f t="shared" ref="B133:B172" si="41">IFERROR(IF(ROUND(IF(totalyrs&gt;3,((J24*(1+INCREASE)^3)),0),0)=0,"",ROUND(IF(totalyrs&gt;3,((J24*(1+INCREASE)^3)),0),0)),"")</f>
        <v/>
      </c>
      <c r="C133" s="864" t="str">
        <f t="shared" ref="C133:C172" si="42">IFERROR(IF(ROUND(IF(totalyrs&gt;3,IF($F$18="X",(IF(G24*(1+INCREASE)^3&gt;$L$18,(IF(AND(totalyrs&lt;4,MOD(NUMMONTHS,12)&gt;0),((MAXSAL*I133)/12)*MOD(NUMMONTHS,12),MAXSAL*I133)),(G24*I133*yr4percent*(1+INCREASE)^3))),(G24*I133*yr4percent*(1+INCREASE)^3)),0),0)=0,"",ROUND(IF(totalyrs&gt;3,IF($F$18="X",(IF(G24*(1+INCREASE)^3&gt;$L$18,(IF(AND(totalyrs&lt;4,MOD(NUMMONTHS,12)&gt;0),((MAXSAL*I133)/12)*MOD(NUMMONTHS,12),MAXSAL*I133)),(G24*I133*yr4percent*(1+INCREASE)^3))),(G24*I133*yr4percent*(1+INCREASE)^3)),0),0)),"")</f>
        <v/>
      </c>
      <c r="D133" s="865"/>
      <c r="E133" s="115" t="str">
        <f t="shared" ref="E133:E172" si="43">IFERROR(IF(IF(H133=0,0,ROUND(IF(P24="G",(C133*L24)+(R24*1.15),IF(Q24&gt;0,C133*L24,C133*(Year1Weight*VLOOKUP(P24,FringeTable,5,FALSE)+Year2Weight*VLOOKUP(P24,FringeTable,6,FALSE)+Year3Weight*VLOOKUP(P24,FringeTable,7,FALSE)))),0))=0,"",IF(H133=0,0,ROUND(IF(P24="G",(C133*L24)+(R24*1.15),IF(Q24&gt;0,C133*L24,C133*(Year1Weight*VLOOKUP(P24,FringeTable,5,FALSE)+Year2Weight*VLOOKUP(P24,FringeTable,6,FALSE)+Year3Weight*VLOOKUP(P24,FringeTable,7,FALSE)))),0))),"")</f>
        <v/>
      </c>
      <c r="F133" s="266" t="str">
        <f t="shared" ref="F133:F172" si="44">IFERROR(IF(SUM(H133*D24)*C24=0,"",SUM(H133*D24)*C24),"")</f>
        <v/>
      </c>
      <c r="G133" s="116" t="str">
        <f t="shared" ref="G133:G172" si="45">IFERROR(C133+E133,"")</f>
        <v/>
      </c>
      <c r="H133" s="184" t="str">
        <f t="shared" ref="H133:H172" si="46">IF(IF(totalyrs&gt;3,(P79),0)=0,"",IF(totalyrs&gt;3,(P79),0))</f>
        <v/>
      </c>
      <c r="I133" s="318" t="str">
        <f t="shared" ref="I133:I172" si="47">IFERROR(H133*D24/12*C24,"")</f>
        <v/>
      </c>
      <c r="J133" s="283" t="str">
        <f t="shared" ref="J133:J172" si="48">IF(totalyrs&gt;4,IF(A24=0,"",A24),"")</f>
        <v/>
      </c>
      <c r="K133" s="265" t="str">
        <f t="shared" ref="K133:K172" si="49">IFERROR(IF(ROUND(IF(totalyrs&gt;4,((J24*yr5percent*(1+INCREASE)^4)),0),0)=0,"",ROUND(IF(totalyrs&gt;4,((J24*yr5percent*(1+INCREASE)^4)),0),0)),"")</f>
        <v/>
      </c>
      <c r="L133" s="131" t="str">
        <f t="shared" ref="L133:L172" si="50">IFERROR(IF(ROUND(IF(totalyrs&gt;4,IF($F$18="X",(IF(G24*(1+INCREASE)^4&gt;$L$18,(IF(AND(totalyrs&lt;5,MOD(NUMMONTHS,12)&gt;0),((MAXSAL*Q133)/12)*MOD(NUMMONTHS,12),MAXSAL*Q133)),(G24*Q133*yr5percent*(1+INCREASE)^4))),(G24*Q133*yr5percent*(1+INCREASE)^4)),0),0)=0,"",ROUND(IF(totalyrs&gt;4,IF($F$18="X",(IF(G24*(1+INCREASE)^4&gt;$L$18,(IF(AND(totalyrs&lt;5,MOD(NUMMONTHS,12)&gt;0),((MAXSAL*Q133)/12)*MOD(NUMMONTHS,12),MAXSAL*Q133)),(G24*Q133*yr5percent*(1+INCREASE)^4))),(G24*Q133*yr5percent*(1+INCREASE)^4)),0),0)),"")</f>
        <v/>
      </c>
      <c r="M133" s="115" t="str">
        <f t="shared" ref="M133:M172" si="51">IFERROR(IF(IF(P133=0,0,ROUND(IF(P24="G",(L133*L24)+(R24*1.2),IF(Q24&gt;0,L133*L24,L133*(Year1Weight*VLOOKUP(P24,FringeTable,6,FALSE)+Year2Weight*VLOOKUP(P24,FringeTable,7,FALSE)+Year3Weight*VLOOKUP(P24,FringeTable,8,FALSE)))),0))=0,"",IF(P133=0,0,ROUND(IF(P24="G",(L133*L24)+(R24*1.2),IF(Q24&gt;0,L133*L24,L133*(Year1Weight*VLOOKUP(P24,FringeTable,6,FALSE)+Year2Weight*VLOOKUP(P24,FringeTable,7,FALSE)+Year3Weight*VLOOKUP(P24,FringeTable,8,FALSE)))),0))),"")</f>
        <v/>
      </c>
      <c r="N133" s="267" t="str">
        <f t="shared" ref="N133:N172" si="52">IFERROR(IF(SUM(P133*D24)*C24=0,"",SUM(P133*D24)*C24),"")</f>
        <v/>
      </c>
      <c r="O133" s="118" t="str">
        <f t="shared" ref="O133:O172" si="53">IFERROR(L133+M133,"")</f>
        <v/>
      </c>
      <c r="P133" s="184" t="str">
        <f t="shared" ref="P133:P172" si="54">IF(IF(totalyrs&gt;4,(H133),0)=0,"",IF(totalyrs&gt;4,(H133),0))</f>
        <v/>
      </c>
      <c r="Q133" s="317" t="str">
        <f t="shared" ref="Q133:Q172" si="55">IFERROR(P133*D24/12*C24,"")</f>
        <v/>
      </c>
      <c r="S133" s="409">
        <f>IFERROR(IF((E24*$L$17*((1+$L$16)^3))&gt;$L$18,(((E24*$L$17*((1+$L$16)^3))-$L$18)*H133*(1+L24)),0),"")</f>
        <v>0</v>
      </c>
      <c r="T133" s="409">
        <f>IFERROR(IF((E24*$L$17*((1+$L$16)^4))&gt;$L$18,(((E24*$L$17*((1+$L$16)^4))-$L$18)*P133*(1+L24)),0),"")</f>
        <v>0</v>
      </c>
      <c r="U133" s="428"/>
      <c r="V133" s="80"/>
      <c r="W133" s="80"/>
      <c r="X133" s="80"/>
      <c r="Y133" s="80"/>
      <c r="Z133" s="80"/>
      <c r="AA133" s="80"/>
      <c r="AB133" s="80"/>
      <c r="AC133" s="80"/>
      <c r="AD133" s="80"/>
      <c r="AE133" s="31"/>
      <c r="AK133" s="31"/>
      <c r="AL133" s="31"/>
    </row>
    <row r="134" spans="1:38" ht="12.75" customHeight="1" x14ac:dyDescent="0.25">
      <c r="A134" s="114" t="str">
        <f t="shared" si="40"/>
        <v/>
      </c>
      <c r="B134" s="265" t="str">
        <f t="shared" si="41"/>
        <v/>
      </c>
      <c r="C134" s="864" t="str">
        <f t="shared" si="42"/>
        <v/>
      </c>
      <c r="D134" s="865"/>
      <c r="E134" s="115" t="str">
        <f t="shared" si="43"/>
        <v/>
      </c>
      <c r="F134" s="266" t="str">
        <f t="shared" si="44"/>
        <v/>
      </c>
      <c r="G134" s="116" t="str">
        <f t="shared" si="45"/>
        <v/>
      </c>
      <c r="H134" s="184" t="str">
        <f t="shared" si="46"/>
        <v/>
      </c>
      <c r="I134" s="318" t="str">
        <f t="shared" si="47"/>
        <v/>
      </c>
      <c r="J134" s="648" t="str">
        <f t="shared" si="48"/>
        <v/>
      </c>
      <c r="K134" s="265" t="str">
        <f t="shared" si="49"/>
        <v/>
      </c>
      <c r="L134" s="131" t="str">
        <f t="shared" si="50"/>
        <v/>
      </c>
      <c r="M134" s="115" t="str">
        <f t="shared" si="51"/>
        <v/>
      </c>
      <c r="N134" s="267" t="str">
        <f t="shared" si="52"/>
        <v/>
      </c>
      <c r="O134" s="118" t="str">
        <f t="shared" si="53"/>
        <v/>
      </c>
      <c r="P134" s="184" t="str">
        <f t="shared" si="54"/>
        <v/>
      </c>
      <c r="Q134" s="317" t="str">
        <f t="shared" si="55"/>
        <v/>
      </c>
      <c r="S134" s="409">
        <f t="shared" ref="S134:S172" si="56">IFERROR(IF((E25*$L$17*((1+$L$16)^3))&gt;$L$18,(((E25*$L$17*((1+$L$16)^3))-$L$18)*H134*(1+L25)),0),"")</f>
        <v>0</v>
      </c>
      <c r="T134" s="409">
        <f t="shared" ref="T134:T172" si="57">IFERROR(IF((E25*$L$17*((1+$L$16)^4))&gt;$L$18,(((E25*$L$17*((1+$L$16)^4))-$L$18)*P134*(1+L25)),0),"")</f>
        <v>0</v>
      </c>
      <c r="U134" s="428"/>
      <c r="V134" s="132"/>
      <c r="W134" s="530"/>
      <c r="X134" s="530"/>
      <c r="Y134" s="530"/>
      <c r="Z134" s="530"/>
      <c r="AA134" s="530"/>
      <c r="AB134" s="132"/>
      <c r="AC134" s="132"/>
      <c r="AD134" s="132"/>
      <c r="AK134" s="31"/>
      <c r="AL134" s="31"/>
    </row>
    <row r="135" spans="1:38" ht="12.75" customHeight="1" x14ac:dyDescent="0.25">
      <c r="A135" s="114" t="str">
        <f t="shared" si="40"/>
        <v/>
      </c>
      <c r="B135" s="265" t="str">
        <f t="shared" si="41"/>
        <v/>
      </c>
      <c r="C135" s="864" t="str">
        <f t="shared" si="42"/>
        <v/>
      </c>
      <c r="D135" s="865"/>
      <c r="E135" s="115" t="str">
        <f t="shared" si="43"/>
        <v/>
      </c>
      <c r="F135" s="266" t="str">
        <f t="shared" si="44"/>
        <v/>
      </c>
      <c r="G135" s="116" t="str">
        <f t="shared" si="45"/>
        <v/>
      </c>
      <c r="H135" s="184" t="str">
        <f t="shared" si="46"/>
        <v/>
      </c>
      <c r="I135" s="318" t="str">
        <f t="shared" si="47"/>
        <v/>
      </c>
      <c r="J135" s="648" t="str">
        <f t="shared" si="48"/>
        <v/>
      </c>
      <c r="K135" s="265" t="str">
        <f t="shared" si="49"/>
        <v/>
      </c>
      <c r="L135" s="131" t="str">
        <f t="shared" si="50"/>
        <v/>
      </c>
      <c r="M135" s="115" t="str">
        <f t="shared" si="51"/>
        <v/>
      </c>
      <c r="N135" s="267" t="str">
        <f t="shared" si="52"/>
        <v/>
      </c>
      <c r="O135" s="118" t="str">
        <f t="shared" si="53"/>
        <v/>
      </c>
      <c r="P135" s="184" t="str">
        <f t="shared" si="54"/>
        <v/>
      </c>
      <c r="Q135" s="317" t="str">
        <f t="shared" si="55"/>
        <v/>
      </c>
      <c r="S135" s="409">
        <f t="shared" si="56"/>
        <v>0</v>
      </c>
      <c r="T135" s="409">
        <f t="shared" si="57"/>
        <v>0</v>
      </c>
      <c r="U135" s="428"/>
      <c r="V135" s="120"/>
      <c r="W135" s="529"/>
      <c r="X135" s="529"/>
      <c r="Y135" s="529"/>
      <c r="Z135" s="529"/>
      <c r="AA135" s="529"/>
      <c r="AB135" s="120"/>
      <c r="AC135" s="120"/>
      <c r="AD135" s="120"/>
      <c r="AK135" s="31"/>
      <c r="AL135" s="31"/>
    </row>
    <row r="136" spans="1:38" ht="12.75" customHeight="1" x14ac:dyDescent="0.25">
      <c r="A136" s="114" t="str">
        <f t="shared" si="40"/>
        <v/>
      </c>
      <c r="B136" s="265" t="str">
        <f t="shared" si="41"/>
        <v/>
      </c>
      <c r="C136" s="864" t="str">
        <f t="shared" si="42"/>
        <v/>
      </c>
      <c r="D136" s="865"/>
      <c r="E136" s="115" t="str">
        <f t="shared" si="43"/>
        <v/>
      </c>
      <c r="F136" s="266" t="str">
        <f t="shared" si="44"/>
        <v/>
      </c>
      <c r="G136" s="116" t="str">
        <f t="shared" si="45"/>
        <v/>
      </c>
      <c r="H136" s="184" t="str">
        <f t="shared" si="46"/>
        <v/>
      </c>
      <c r="I136" s="318" t="str">
        <f t="shared" si="47"/>
        <v/>
      </c>
      <c r="J136" s="648" t="str">
        <f t="shared" si="48"/>
        <v/>
      </c>
      <c r="K136" s="265" t="str">
        <f t="shared" si="49"/>
        <v/>
      </c>
      <c r="L136" s="131" t="str">
        <f t="shared" si="50"/>
        <v/>
      </c>
      <c r="M136" s="115" t="str">
        <f t="shared" si="51"/>
        <v/>
      </c>
      <c r="N136" s="267" t="str">
        <f t="shared" si="52"/>
        <v/>
      </c>
      <c r="O136" s="118" t="str">
        <f t="shared" si="53"/>
        <v/>
      </c>
      <c r="P136" s="184" t="str">
        <f t="shared" si="54"/>
        <v/>
      </c>
      <c r="Q136" s="317" t="str">
        <f t="shared" si="55"/>
        <v/>
      </c>
      <c r="R136" s="80"/>
      <c r="S136" s="409">
        <f t="shared" si="56"/>
        <v>0</v>
      </c>
      <c r="T136" s="409">
        <f t="shared" si="57"/>
        <v>0</v>
      </c>
      <c r="U136" s="428"/>
      <c r="V136" s="80"/>
      <c r="W136" s="80"/>
      <c r="X136" s="80"/>
      <c r="Y136" s="80"/>
      <c r="Z136" s="80"/>
      <c r="AA136" s="80"/>
      <c r="AB136" s="80"/>
      <c r="AC136" s="80"/>
      <c r="AD136" s="80"/>
      <c r="AE136" s="31"/>
      <c r="AK136" s="31"/>
      <c r="AL136" s="31"/>
    </row>
    <row r="137" spans="1:38" ht="12.75" customHeight="1" x14ac:dyDescent="0.25">
      <c r="A137" s="114" t="str">
        <f t="shared" ref="A137:A143" si="58">IF(totalyrs&gt;3,IF(A28=0,"",A28),"")</f>
        <v/>
      </c>
      <c r="B137" s="265" t="str">
        <f t="shared" si="41"/>
        <v/>
      </c>
      <c r="C137" s="864" t="str">
        <f t="shared" si="42"/>
        <v/>
      </c>
      <c r="D137" s="865"/>
      <c r="E137" s="115" t="str">
        <f t="shared" si="43"/>
        <v/>
      </c>
      <c r="F137" s="266" t="str">
        <f t="shared" si="44"/>
        <v/>
      </c>
      <c r="G137" s="116" t="str">
        <f t="shared" si="45"/>
        <v/>
      </c>
      <c r="H137" s="184" t="str">
        <f t="shared" si="46"/>
        <v/>
      </c>
      <c r="I137" s="318" t="str">
        <f t="shared" si="47"/>
        <v/>
      </c>
      <c r="J137" s="648" t="str">
        <f t="shared" ref="J137:J143" si="59">IF(totalyrs&gt;4,IF(A28=0,"",A28),"")</f>
        <v/>
      </c>
      <c r="K137" s="265" t="str">
        <f t="shared" si="49"/>
        <v/>
      </c>
      <c r="L137" s="131" t="str">
        <f t="shared" si="50"/>
        <v/>
      </c>
      <c r="M137" s="115" t="str">
        <f t="shared" si="51"/>
        <v/>
      </c>
      <c r="N137" s="267" t="str">
        <f t="shared" si="52"/>
        <v/>
      </c>
      <c r="O137" s="118" t="str">
        <f t="shared" si="53"/>
        <v/>
      </c>
      <c r="P137" s="184" t="str">
        <f t="shared" si="54"/>
        <v/>
      </c>
      <c r="Q137" s="317" t="str">
        <f t="shared" si="55"/>
        <v/>
      </c>
      <c r="R137" s="80"/>
      <c r="S137" s="409">
        <f t="shared" si="56"/>
        <v>0</v>
      </c>
      <c r="T137" s="409">
        <f t="shared" si="57"/>
        <v>0</v>
      </c>
      <c r="U137" s="428"/>
      <c r="V137" s="80"/>
      <c r="W137" s="80"/>
      <c r="X137" s="80"/>
      <c r="Y137" s="80"/>
      <c r="Z137" s="80"/>
      <c r="AA137" s="80"/>
      <c r="AB137" s="80"/>
      <c r="AC137" s="80"/>
      <c r="AD137" s="80"/>
      <c r="AE137" s="31"/>
      <c r="AK137" s="31"/>
      <c r="AL137" s="31"/>
    </row>
    <row r="138" spans="1:38" ht="12.75" customHeight="1" x14ac:dyDescent="0.25">
      <c r="A138" s="114" t="str">
        <f t="shared" si="58"/>
        <v/>
      </c>
      <c r="B138" s="265" t="str">
        <f t="shared" si="41"/>
        <v/>
      </c>
      <c r="C138" s="864" t="str">
        <f t="shared" si="42"/>
        <v/>
      </c>
      <c r="D138" s="865"/>
      <c r="E138" s="115" t="str">
        <f t="shared" si="43"/>
        <v/>
      </c>
      <c r="F138" s="266" t="str">
        <f t="shared" si="44"/>
        <v/>
      </c>
      <c r="G138" s="116" t="str">
        <f t="shared" si="45"/>
        <v/>
      </c>
      <c r="H138" s="184" t="str">
        <f t="shared" si="46"/>
        <v/>
      </c>
      <c r="I138" s="318" t="str">
        <f t="shared" si="47"/>
        <v/>
      </c>
      <c r="J138" s="648" t="str">
        <f t="shared" si="59"/>
        <v/>
      </c>
      <c r="K138" s="265" t="str">
        <f t="shared" si="49"/>
        <v/>
      </c>
      <c r="L138" s="131" t="str">
        <f t="shared" si="50"/>
        <v/>
      </c>
      <c r="M138" s="115" t="str">
        <f t="shared" si="51"/>
        <v/>
      </c>
      <c r="N138" s="267" t="str">
        <f t="shared" si="52"/>
        <v/>
      </c>
      <c r="O138" s="118" t="str">
        <f t="shared" si="53"/>
        <v/>
      </c>
      <c r="P138" s="184" t="str">
        <f t="shared" si="54"/>
        <v/>
      </c>
      <c r="Q138" s="317" t="str">
        <f t="shared" si="55"/>
        <v/>
      </c>
      <c r="R138" s="80"/>
      <c r="S138" s="409">
        <f t="shared" si="56"/>
        <v>0</v>
      </c>
      <c r="T138" s="409">
        <f t="shared" si="57"/>
        <v>0</v>
      </c>
      <c r="U138" s="428"/>
      <c r="V138" s="80"/>
      <c r="W138" s="80"/>
      <c r="X138" s="80"/>
      <c r="Y138" s="80"/>
      <c r="Z138" s="80"/>
      <c r="AA138" s="80"/>
      <c r="AB138" s="80"/>
      <c r="AC138" s="80"/>
      <c r="AD138" s="80"/>
      <c r="AE138" s="31"/>
      <c r="AK138" s="31"/>
      <c r="AL138" s="31"/>
    </row>
    <row r="139" spans="1:38" ht="12.75" customHeight="1" x14ac:dyDescent="0.25">
      <c r="A139" s="114" t="str">
        <f t="shared" si="58"/>
        <v/>
      </c>
      <c r="B139" s="265" t="str">
        <f t="shared" si="41"/>
        <v/>
      </c>
      <c r="C139" s="864" t="str">
        <f t="shared" si="42"/>
        <v/>
      </c>
      <c r="D139" s="865"/>
      <c r="E139" s="115" t="str">
        <f t="shared" si="43"/>
        <v/>
      </c>
      <c r="F139" s="266" t="str">
        <f t="shared" si="44"/>
        <v/>
      </c>
      <c r="G139" s="116" t="str">
        <f t="shared" si="45"/>
        <v/>
      </c>
      <c r="H139" s="184" t="str">
        <f t="shared" si="46"/>
        <v/>
      </c>
      <c r="I139" s="318" t="str">
        <f t="shared" si="47"/>
        <v/>
      </c>
      <c r="J139" s="648" t="str">
        <f t="shared" si="59"/>
        <v/>
      </c>
      <c r="K139" s="265" t="str">
        <f t="shared" si="49"/>
        <v/>
      </c>
      <c r="L139" s="131" t="str">
        <f t="shared" si="50"/>
        <v/>
      </c>
      <c r="M139" s="115" t="str">
        <f t="shared" si="51"/>
        <v/>
      </c>
      <c r="N139" s="267" t="str">
        <f t="shared" si="52"/>
        <v/>
      </c>
      <c r="O139" s="118" t="str">
        <f t="shared" si="53"/>
        <v/>
      </c>
      <c r="P139" s="184" t="str">
        <f t="shared" si="54"/>
        <v/>
      </c>
      <c r="Q139" s="317" t="str">
        <f t="shared" si="55"/>
        <v/>
      </c>
      <c r="R139" s="80"/>
      <c r="S139" s="409">
        <f t="shared" si="56"/>
        <v>0</v>
      </c>
      <c r="T139" s="409">
        <f t="shared" si="57"/>
        <v>0</v>
      </c>
      <c r="U139" s="428"/>
      <c r="V139" s="80"/>
      <c r="W139" s="80"/>
      <c r="X139" s="80"/>
      <c r="Y139" s="80"/>
      <c r="Z139" s="80"/>
      <c r="AA139" s="80"/>
      <c r="AB139" s="80"/>
      <c r="AC139" s="80"/>
      <c r="AD139" s="80"/>
      <c r="AE139" s="31"/>
      <c r="AK139" s="31"/>
      <c r="AL139" s="31"/>
    </row>
    <row r="140" spans="1:38" ht="12.75" customHeight="1" x14ac:dyDescent="0.25">
      <c r="A140" s="114" t="str">
        <f t="shared" si="58"/>
        <v/>
      </c>
      <c r="B140" s="265" t="str">
        <f t="shared" si="41"/>
        <v/>
      </c>
      <c r="C140" s="864" t="str">
        <f t="shared" si="42"/>
        <v/>
      </c>
      <c r="D140" s="865"/>
      <c r="E140" s="115" t="str">
        <f t="shared" si="43"/>
        <v/>
      </c>
      <c r="F140" s="266" t="str">
        <f t="shared" si="44"/>
        <v/>
      </c>
      <c r="G140" s="116" t="str">
        <f t="shared" si="45"/>
        <v/>
      </c>
      <c r="H140" s="184" t="str">
        <f t="shared" si="46"/>
        <v/>
      </c>
      <c r="I140" s="318" t="str">
        <f t="shared" si="47"/>
        <v/>
      </c>
      <c r="J140" s="648" t="str">
        <f t="shared" si="59"/>
        <v/>
      </c>
      <c r="K140" s="265" t="str">
        <f t="shared" si="49"/>
        <v/>
      </c>
      <c r="L140" s="131" t="str">
        <f t="shared" si="50"/>
        <v/>
      </c>
      <c r="M140" s="115" t="str">
        <f t="shared" si="51"/>
        <v/>
      </c>
      <c r="N140" s="267" t="str">
        <f t="shared" si="52"/>
        <v/>
      </c>
      <c r="O140" s="118" t="str">
        <f t="shared" si="53"/>
        <v/>
      </c>
      <c r="P140" s="184" t="str">
        <f t="shared" si="54"/>
        <v/>
      </c>
      <c r="Q140" s="317" t="str">
        <f t="shared" si="55"/>
        <v/>
      </c>
      <c r="R140" s="80"/>
      <c r="S140" s="409">
        <f t="shared" si="56"/>
        <v>0</v>
      </c>
      <c r="T140" s="409">
        <f t="shared" si="57"/>
        <v>0</v>
      </c>
      <c r="U140" s="428"/>
      <c r="V140" s="80"/>
      <c r="W140" s="80"/>
      <c r="X140" s="80"/>
      <c r="Y140" s="80"/>
      <c r="Z140" s="80"/>
      <c r="AA140" s="80"/>
      <c r="AB140" s="80"/>
      <c r="AC140" s="80"/>
      <c r="AD140" s="80"/>
      <c r="AE140" s="31"/>
      <c r="AK140" s="31"/>
      <c r="AL140" s="31"/>
    </row>
    <row r="141" spans="1:38" ht="12.75" customHeight="1" x14ac:dyDescent="0.25">
      <c r="A141" s="114" t="str">
        <f t="shared" si="58"/>
        <v/>
      </c>
      <c r="B141" s="265" t="str">
        <f t="shared" si="41"/>
        <v/>
      </c>
      <c r="C141" s="864" t="str">
        <f t="shared" si="42"/>
        <v/>
      </c>
      <c r="D141" s="865"/>
      <c r="E141" s="115" t="str">
        <f t="shared" si="43"/>
        <v/>
      </c>
      <c r="F141" s="266" t="str">
        <f t="shared" si="44"/>
        <v/>
      </c>
      <c r="G141" s="116" t="str">
        <f t="shared" si="45"/>
        <v/>
      </c>
      <c r="H141" s="184" t="str">
        <f t="shared" si="46"/>
        <v/>
      </c>
      <c r="I141" s="318" t="str">
        <f t="shared" si="47"/>
        <v/>
      </c>
      <c r="J141" s="648" t="str">
        <f t="shared" si="59"/>
        <v/>
      </c>
      <c r="K141" s="265" t="str">
        <f t="shared" si="49"/>
        <v/>
      </c>
      <c r="L141" s="131" t="str">
        <f t="shared" si="50"/>
        <v/>
      </c>
      <c r="M141" s="115" t="str">
        <f t="shared" si="51"/>
        <v/>
      </c>
      <c r="N141" s="267" t="str">
        <f t="shared" si="52"/>
        <v/>
      </c>
      <c r="O141" s="118" t="str">
        <f t="shared" si="53"/>
        <v/>
      </c>
      <c r="P141" s="184" t="str">
        <f t="shared" si="54"/>
        <v/>
      </c>
      <c r="Q141" s="317" t="str">
        <f t="shared" si="55"/>
        <v/>
      </c>
      <c r="R141" s="80"/>
      <c r="S141" s="409">
        <f t="shared" si="56"/>
        <v>0</v>
      </c>
      <c r="T141" s="409">
        <f t="shared" si="57"/>
        <v>0</v>
      </c>
      <c r="U141" s="428"/>
      <c r="V141" s="80"/>
      <c r="W141" s="80"/>
      <c r="X141" s="80"/>
      <c r="Y141" s="80"/>
      <c r="Z141" s="80"/>
      <c r="AA141" s="80"/>
      <c r="AB141" s="80"/>
      <c r="AC141" s="80"/>
      <c r="AD141" s="80"/>
      <c r="AE141" s="31"/>
      <c r="AK141" s="31"/>
      <c r="AL141" s="31"/>
    </row>
    <row r="142" spans="1:38" ht="12.75" customHeight="1" x14ac:dyDescent="0.25">
      <c r="A142" s="114" t="str">
        <f t="shared" si="58"/>
        <v/>
      </c>
      <c r="B142" s="265" t="str">
        <f t="shared" si="41"/>
        <v/>
      </c>
      <c r="C142" s="864" t="str">
        <f t="shared" si="42"/>
        <v/>
      </c>
      <c r="D142" s="865"/>
      <c r="E142" s="115" t="str">
        <f t="shared" si="43"/>
        <v/>
      </c>
      <c r="F142" s="266" t="str">
        <f t="shared" si="44"/>
        <v/>
      </c>
      <c r="G142" s="116" t="str">
        <f t="shared" si="45"/>
        <v/>
      </c>
      <c r="H142" s="184" t="str">
        <f t="shared" si="46"/>
        <v/>
      </c>
      <c r="I142" s="318" t="str">
        <f t="shared" si="47"/>
        <v/>
      </c>
      <c r="J142" s="648" t="str">
        <f t="shared" si="59"/>
        <v/>
      </c>
      <c r="K142" s="265" t="str">
        <f t="shared" si="49"/>
        <v/>
      </c>
      <c r="L142" s="131" t="str">
        <f t="shared" si="50"/>
        <v/>
      </c>
      <c r="M142" s="115" t="str">
        <f t="shared" si="51"/>
        <v/>
      </c>
      <c r="N142" s="267" t="str">
        <f t="shared" si="52"/>
        <v/>
      </c>
      <c r="O142" s="118" t="str">
        <f t="shared" si="53"/>
        <v/>
      </c>
      <c r="P142" s="184" t="str">
        <f t="shared" si="54"/>
        <v/>
      </c>
      <c r="Q142" s="317" t="str">
        <f t="shared" si="55"/>
        <v/>
      </c>
      <c r="R142" s="80"/>
      <c r="S142" s="409">
        <f t="shared" si="56"/>
        <v>0</v>
      </c>
      <c r="T142" s="409">
        <f t="shared" si="57"/>
        <v>0</v>
      </c>
      <c r="U142" s="428"/>
      <c r="V142" s="80"/>
      <c r="W142" s="80"/>
      <c r="X142" s="80"/>
      <c r="Y142" s="80"/>
      <c r="Z142" s="80"/>
      <c r="AA142" s="80"/>
      <c r="AB142" s="80"/>
      <c r="AC142" s="80"/>
      <c r="AD142" s="80"/>
      <c r="AE142" s="31"/>
      <c r="AK142" s="31"/>
      <c r="AL142" s="31"/>
    </row>
    <row r="143" spans="1:38" ht="12.75" customHeight="1" x14ac:dyDescent="0.25">
      <c r="A143" s="114" t="str">
        <f t="shared" si="58"/>
        <v/>
      </c>
      <c r="B143" s="265" t="str">
        <f t="shared" si="41"/>
        <v/>
      </c>
      <c r="C143" s="864" t="str">
        <f t="shared" si="42"/>
        <v/>
      </c>
      <c r="D143" s="865"/>
      <c r="E143" s="115" t="str">
        <f t="shared" si="43"/>
        <v/>
      </c>
      <c r="F143" s="266" t="str">
        <f t="shared" si="44"/>
        <v/>
      </c>
      <c r="G143" s="116" t="str">
        <f t="shared" si="45"/>
        <v/>
      </c>
      <c r="H143" s="184" t="str">
        <f t="shared" si="46"/>
        <v/>
      </c>
      <c r="I143" s="318" t="str">
        <f t="shared" si="47"/>
        <v/>
      </c>
      <c r="J143" s="648" t="str">
        <f t="shared" si="59"/>
        <v/>
      </c>
      <c r="K143" s="265" t="str">
        <f t="shared" si="49"/>
        <v/>
      </c>
      <c r="L143" s="131" t="str">
        <f t="shared" si="50"/>
        <v/>
      </c>
      <c r="M143" s="115" t="str">
        <f t="shared" si="51"/>
        <v/>
      </c>
      <c r="N143" s="267" t="str">
        <f t="shared" si="52"/>
        <v/>
      </c>
      <c r="O143" s="118" t="str">
        <f t="shared" si="53"/>
        <v/>
      </c>
      <c r="P143" s="184" t="str">
        <f t="shared" si="54"/>
        <v/>
      </c>
      <c r="Q143" s="317" t="str">
        <f t="shared" si="55"/>
        <v/>
      </c>
      <c r="R143" s="80"/>
      <c r="S143" s="409">
        <f t="shared" si="56"/>
        <v>0</v>
      </c>
      <c r="T143" s="409">
        <f t="shared" si="57"/>
        <v>0</v>
      </c>
      <c r="U143" s="428"/>
      <c r="V143" s="80"/>
      <c r="W143" s="80"/>
      <c r="X143" s="80"/>
      <c r="Y143" s="80"/>
      <c r="Z143" s="80"/>
      <c r="AA143" s="80"/>
      <c r="AB143" s="80"/>
      <c r="AC143" s="80"/>
      <c r="AD143" s="80"/>
      <c r="AE143" s="31"/>
      <c r="AK143" s="31"/>
      <c r="AL143" s="31"/>
    </row>
    <row r="144" spans="1:38" ht="12.75" customHeight="1" x14ac:dyDescent="0.25">
      <c r="A144" s="114" t="str">
        <f t="shared" si="40"/>
        <v/>
      </c>
      <c r="B144" s="265" t="str">
        <f t="shared" si="41"/>
        <v/>
      </c>
      <c r="C144" s="864" t="str">
        <f t="shared" si="42"/>
        <v/>
      </c>
      <c r="D144" s="865"/>
      <c r="E144" s="115" t="str">
        <f t="shared" si="43"/>
        <v/>
      </c>
      <c r="F144" s="266" t="str">
        <f t="shared" si="44"/>
        <v/>
      </c>
      <c r="G144" s="116" t="str">
        <f t="shared" si="45"/>
        <v/>
      </c>
      <c r="H144" s="184" t="str">
        <f t="shared" si="46"/>
        <v/>
      </c>
      <c r="I144" s="318" t="str">
        <f t="shared" si="47"/>
        <v/>
      </c>
      <c r="J144" s="648" t="str">
        <f t="shared" si="48"/>
        <v/>
      </c>
      <c r="K144" s="265" t="str">
        <f t="shared" si="49"/>
        <v/>
      </c>
      <c r="L144" s="131" t="str">
        <f t="shared" si="50"/>
        <v/>
      </c>
      <c r="M144" s="115" t="str">
        <f t="shared" si="51"/>
        <v/>
      </c>
      <c r="N144" s="267" t="str">
        <f t="shared" si="52"/>
        <v/>
      </c>
      <c r="O144" s="118" t="str">
        <f t="shared" si="53"/>
        <v/>
      </c>
      <c r="P144" s="184" t="str">
        <f t="shared" si="54"/>
        <v/>
      </c>
      <c r="Q144" s="317" t="str">
        <f t="shared" si="55"/>
        <v/>
      </c>
      <c r="R144" s="30"/>
      <c r="S144" s="409">
        <f t="shared" si="56"/>
        <v>0</v>
      </c>
      <c r="T144" s="409">
        <f t="shared" si="57"/>
        <v>0</v>
      </c>
      <c r="U144" s="428"/>
      <c r="V144" s="30"/>
      <c r="W144" s="84"/>
      <c r="X144" s="84"/>
      <c r="Y144" s="84"/>
      <c r="Z144" s="84"/>
      <c r="AA144" s="84"/>
      <c r="AB144" s="30"/>
      <c r="AC144" s="30"/>
      <c r="AD144" s="30"/>
      <c r="AE144" s="30"/>
      <c r="AK144" s="31"/>
      <c r="AL144" s="31"/>
    </row>
    <row r="145" spans="1:38" ht="12.75" customHeight="1" x14ac:dyDescent="0.25">
      <c r="A145" s="114" t="str">
        <f t="shared" si="40"/>
        <v/>
      </c>
      <c r="B145" s="265" t="str">
        <f t="shared" si="41"/>
        <v/>
      </c>
      <c r="C145" s="864" t="str">
        <f t="shared" si="42"/>
        <v/>
      </c>
      <c r="D145" s="865"/>
      <c r="E145" s="115" t="str">
        <f t="shared" si="43"/>
        <v/>
      </c>
      <c r="F145" s="266" t="str">
        <f t="shared" si="44"/>
        <v/>
      </c>
      <c r="G145" s="116" t="str">
        <f t="shared" si="45"/>
        <v/>
      </c>
      <c r="H145" s="184" t="str">
        <f t="shared" si="46"/>
        <v/>
      </c>
      <c r="I145" s="318" t="str">
        <f t="shared" si="47"/>
        <v/>
      </c>
      <c r="J145" s="648" t="str">
        <f t="shared" si="48"/>
        <v/>
      </c>
      <c r="K145" s="265" t="str">
        <f t="shared" si="49"/>
        <v/>
      </c>
      <c r="L145" s="131" t="str">
        <f t="shared" si="50"/>
        <v/>
      </c>
      <c r="M145" s="115" t="str">
        <f t="shared" si="51"/>
        <v/>
      </c>
      <c r="N145" s="267" t="str">
        <f t="shared" si="52"/>
        <v/>
      </c>
      <c r="O145" s="118" t="str">
        <f t="shared" si="53"/>
        <v/>
      </c>
      <c r="P145" s="184" t="str">
        <f t="shared" si="54"/>
        <v/>
      </c>
      <c r="Q145" s="317" t="str">
        <f t="shared" si="55"/>
        <v/>
      </c>
      <c r="R145" s="30"/>
      <c r="S145" s="409">
        <f t="shared" si="56"/>
        <v>0</v>
      </c>
      <c r="T145" s="409">
        <f t="shared" si="57"/>
        <v>0</v>
      </c>
      <c r="U145" s="428"/>
      <c r="V145" s="30"/>
      <c r="W145" s="84"/>
      <c r="X145" s="84"/>
      <c r="Y145" s="84"/>
      <c r="Z145" s="84"/>
      <c r="AA145" s="84"/>
      <c r="AB145" s="30"/>
      <c r="AC145" s="30"/>
      <c r="AD145" s="30"/>
      <c r="AE145" s="30"/>
      <c r="AK145" s="31"/>
      <c r="AL145" s="31"/>
    </row>
    <row r="146" spans="1:38" ht="12.75" customHeight="1" x14ac:dyDescent="0.25">
      <c r="A146" s="114" t="str">
        <f t="shared" si="40"/>
        <v/>
      </c>
      <c r="B146" s="265" t="str">
        <f t="shared" si="41"/>
        <v/>
      </c>
      <c r="C146" s="864" t="str">
        <f t="shared" si="42"/>
        <v/>
      </c>
      <c r="D146" s="865"/>
      <c r="E146" s="115" t="str">
        <f t="shared" si="43"/>
        <v/>
      </c>
      <c r="F146" s="266" t="str">
        <f t="shared" si="44"/>
        <v/>
      </c>
      <c r="G146" s="116" t="str">
        <f t="shared" si="45"/>
        <v/>
      </c>
      <c r="H146" s="184" t="str">
        <f t="shared" si="46"/>
        <v/>
      </c>
      <c r="I146" s="318" t="str">
        <f t="shared" si="47"/>
        <v/>
      </c>
      <c r="J146" s="648" t="str">
        <f t="shared" si="48"/>
        <v/>
      </c>
      <c r="K146" s="265" t="str">
        <f t="shared" si="49"/>
        <v/>
      </c>
      <c r="L146" s="131" t="str">
        <f t="shared" si="50"/>
        <v/>
      </c>
      <c r="M146" s="115" t="str">
        <f t="shared" si="51"/>
        <v/>
      </c>
      <c r="N146" s="267" t="str">
        <f t="shared" si="52"/>
        <v/>
      </c>
      <c r="O146" s="118" t="str">
        <f t="shared" si="53"/>
        <v/>
      </c>
      <c r="P146" s="184" t="str">
        <f t="shared" si="54"/>
        <v/>
      </c>
      <c r="Q146" s="317" t="str">
        <f t="shared" si="55"/>
        <v/>
      </c>
      <c r="R146" s="30"/>
      <c r="S146" s="409">
        <f t="shared" si="56"/>
        <v>0</v>
      </c>
      <c r="T146" s="409">
        <f t="shared" si="57"/>
        <v>0</v>
      </c>
      <c r="U146" s="428"/>
      <c r="V146" s="30"/>
      <c r="W146" s="84"/>
      <c r="X146" s="84"/>
      <c r="Y146" s="84"/>
      <c r="Z146" s="84"/>
      <c r="AA146" s="84"/>
      <c r="AB146" s="30"/>
      <c r="AC146" s="30"/>
      <c r="AD146" s="30"/>
      <c r="AE146" s="30"/>
      <c r="AK146" s="31"/>
      <c r="AL146" s="31"/>
    </row>
    <row r="147" spans="1:38" ht="12.75" customHeight="1" x14ac:dyDescent="0.25">
      <c r="A147" s="114" t="str">
        <f t="shared" si="40"/>
        <v/>
      </c>
      <c r="B147" s="265" t="str">
        <f t="shared" si="41"/>
        <v/>
      </c>
      <c r="C147" s="864" t="str">
        <f t="shared" si="42"/>
        <v/>
      </c>
      <c r="D147" s="865"/>
      <c r="E147" s="115" t="str">
        <f t="shared" si="43"/>
        <v/>
      </c>
      <c r="F147" s="266" t="str">
        <f t="shared" si="44"/>
        <v/>
      </c>
      <c r="G147" s="116" t="str">
        <f t="shared" si="45"/>
        <v/>
      </c>
      <c r="H147" s="184" t="str">
        <f t="shared" si="46"/>
        <v/>
      </c>
      <c r="I147" s="318" t="str">
        <f t="shared" si="47"/>
        <v/>
      </c>
      <c r="J147" s="648" t="str">
        <f t="shared" si="48"/>
        <v/>
      </c>
      <c r="K147" s="265" t="str">
        <f t="shared" si="49"/>
        <v/>
      </c>
      <c r="L147" s="131" t="str">
        <f t="shared" si="50"/>
        <v/>
      </c>
      <c r="M147" s="115" t="str">
        <f t="shared" si="51"/>
        <v/>
      </c>
      <c r="N147" s="267" t="str">
        <f t="shared" si="52"/>
        <v/>
      </c>
      <c r="O147" s="118" t="str">
        <f t="shared" si="53"/>
        <v/>
      </c>
      <c r="P147" s="184" t="str">
        <f t="shared" si="54"/>
        <v/>
      </c>
      <c r="Q147" s="317" t="str">
        <f t="shared" si="55"/>
        <v/>
      </c>
      <c r="R147" s="31"/>
      <c r="S147" s="409">
        <f t="shared" si="56"/>
        <v>0</v>
      </c>
      <c r="T147" s="409">
        <f t="shared" si="57"/>
        <v>0</v>
      </c>
      <c r="U147" s="428"/>
      <c r="V147" s="31"/>
      <c r="W147" s="80"/>
      <c r="X147" s="80"/>
      <c r="Y147" s="80"/>
      <c r="Z147" s="80"/>
      <c r="AA147" s="80"/>
      <c r="AB147" s="31"/>
      <c r="AC147" s="31"/>
      <c r="AD147" s="31"/>
      <c r="AE147" s="31"/>
      <c r="AK147" s="31"/>
      <c r="AL147" s="31"/>
    </row>
    <row r="148" spans="1:38" ht="12.75" customHeight="1" x14ac:dyDescent="0.25">
      <c r="A148" s="114" t="str">
        <f t="shared" si="40"/>
        <v/>
      </c>
      <c r="B148" s="265" t="str">
        <f t="shared" si="41"/>
        <v/>
      </c>
      <c r="C148" s="864" t="str">
        <f t="shared" si="42"/>
        <v/>
      </c>
      <c r="D148" s="865"/>
      <c r="E148" s="115" t="str">
        <f t="shared" si="43"/>
        <v/>
      </c>
      <c r="F148" s="266" t="str">
        <f t="shared" si="44"/>
        <v/>
      </c>
      <c r="G148" s="116" t="str">
        <f t="shared" si="45"/>
        <v/>
      </c>
      <c r="H148" s="184" t="str">
        <f t="shared" si="46"/>
        <v/>
      </c>
      <c r="I148" s="318" t="str">
        <f t="shared" si="47"/>
        <v/>
      </c>
      <c r="J148" s="648" t="str">
        <f t="shared" si="48"/>
        <v/>
      </c>
      <c r="K148" s="265" t="str">
        <f t="shared" si="49"/>
        <v/>
      </c>
      <c r="L148" s="131" t="str">
        <f t="shared" si="50"/>
        <v/>
      </c>
      <c r="M148" s="115" t="str">
        <f t="shared" si="51"/>
        <v/>
      </c>
      <c r="N148" s="267" t="str">
        <f t="shared" si="52"/>
        <v/>
      </c>
      <c r="O148" s="118" t="str">
        <f t="shared" si="53"/>
        <v/>
      </c>
      <c r="P148" s="184" t="str">
        <f t="shared" si="54"/>
        <v/>
      </c>
      <c r="Q148" s="317" t="str">
        <f t="shared" si="55"/>
        <v/>
      </c>
      <c r="R148" s="31"/>
      <c r="S148" s="409">
        <f t="shared" si="56"/>
        <v>0</v>
      </c>
      <c r="T148" s="409">
        <f t="shared" si="57"/>
        <v>0</v>
      </c>
      <c r="U148" s="428"/>
      <c r="V148" s="31"/>
      <c r="W148" s="80"/>
      <c r="X148" s="80"/>
      <c r="Y148" s="80"/>
      <c r="Z148" s="80"/>
      <c r="AA148" s="80"/>
      <c r="AB148" s="31"/>
      <c r="AC148" s="31"/>
      <c r="AD148" s="31"/>
      <c r="AE148" s="31"/>
      <c r="AK148" s="31"/>
      <c r="AL148" s="31"/>
    </row>
    <row r="149" spans="1:38" ht="12.75" customHeight="1" x14ac:dyDescent="0.25">
      <c r="A149" s="114" t="str">
        <f t="shared" si="40"/>
        <v/>
      </c>
      <c r="B149" s="265" t="str">
        <f t="shared" si="41"/>
        <v/>
      </c>
      <c r="C149" s="864" t="str">
        <f t="shared" si="42"/>
        <v/>
      </c>
      <c r="D149" s="865"/>
      <c r="E149" s="115" t="str">
        <f t="shared" si="43"/>
        <v/>
      </c>
      <c r="F149" s="266" t="str">
        <f t="shared" si="44"/>
        <v/>
      </c>
      <c r="G149" s="116" t="str">
        <f t="shared" si="45"/>
        <v/>
      </c>
      <c r="H149" s="184" t="str">
        <f t="shared" si="46"/>
        <v/>
      </c>
      <c r="I149" s="318" t="str">
        <f t="shared" si="47"/>
        <v/>
      </c>
      <c r="J149" s="648" t="str">
        <f t="shared" si="48"/>
        <v/>
      </c>
      <c r="K149" s="265" t="str">
        <f t="shared" si="49"/>
        <v/>
      </c>
      <c r="L149" s="131" t="str">
        <f t="shared" si="50"/>
        <v/>
      </c>
      <c r="M149" s="115" t="str">
        <f t="shared" si="51"/>
        <v/>
      </c>
      <c r="N149" s="267" t="str">
        <f t="shared" si="52"/>
        <v/>
      </c>
      <c r="O149" s="118" t="str">
        <f t="shared" si="53"/>
        <v/>
      </c>
      <c r="P149" s="184" t="str">
        <f t="shared" si="54"/>
        <v/>
      </c>
      <c r="Q149" s="317" t="str">
        <f t="shared" si="55"/>
        <v/>
      </c>
      <c r="R149" s="31"/>
      <c r="S149" s="409">
        <f t="shared" si="56"/>
        <v>0</v>
      </c>
      <c r="T149" s="409">
        <f t="shared" si="57"/>
        <v>0</v>
      </c>
      <c r="U149" s="428"/>
      <c r="V149" s="31"/>
      <c r="W149" s="80"/>
      <c r="X149" s="80"/>
      <c r="Y149" s="80"/>
      <c r="Z149" s="80"/>
      <c r="AA149" s="80"/>
      <c r="AB149" s="31"/>
      <c r="AC149" s="31"/>
      <c r="AD149" s="31"/>
      <c r="AE149" s="31"/>
      <c r="AK149" s="31"/>
      <c r="AL149" s="31"/>
    </row>
    <row r="150" spans="1:38" ht="12.75" customHeight="1" x14ac:dyDescent="0.25">
      <c r="A150" s="114" t="str">
        <f t="shared" si="40"/>
        <v/>
      </c>
      <c r="B150" s="265" t="str">
        <f t="shared" si="41"/>
        <v/>
      </c>
      <c r="C150" s="864" t="str">
        <f t="shared" si="42"/>
        <v/>
      </c>
      <c r="D150" s="865"/>
      <c r="E150" s="115" t="str">
        <f t="shared" si="43"/>
        <v/>
      </c>
      <c r="F150" s="266" t="str">
        <f t="shared" si="44"/>
        <v/>
      </c>
      <c r="G150" s="116" t="str">
        <f t="shared" si="45"/>
        <v/>
      </c>
      <c r="H150" s="184" t="str">
        <f t="shared" si="46"/>
        <v/>
      </c>
      <c r="I150" s="318" t="str">
        <f t="shared" si="47"/>
        <v/>
      </c>
      <c r="J150" s="648" t="str">
        <f t="shared" si="48"/>
        <v/>
      </c>
      <c r="K150" s="265" t="str">
        <f t="shared" si="49"/>
        <v/>
      </c>
      <c r="L150" s="131" t="str">
        <f t="shared" si="50"/>
        <v/>
      </c>
      <c r="M150" s="115" t="str">
        <f t="shared" si="51"/>
        <v/>
      </c>
      <c r="N150" s="267" t="str">
        <f t="shared" si="52"/>
        <v/>
      </c>
      <c r="O150" s="118" t="str">
        <f t="shared" si="53"/>
        <v/>
      </c>
      <c r="P150" s="184" t="str">
        <f t="shared" si="54"/>
        <v/>
      </c>
      <c r="Q150" s="317" t="str">
        <f t="shared" si="55"/>
        <v/>
      </c>
      <c r="R150" s="31"/>
      <c r="S150" s="409">
        <f t="shared" si="56"/>
        <v>0</v>
      </c>
      <c r="T150" s="409">
        <f t="shared" si="57"/>
        <v>0</v>
      </c>
      <c r="U150" s="428"/>
      <c r="V150" s="31"/>
      <c r="W150" s="80"/>
      <c r="X150" s="80"/>
      <c r="Y150" s="80"/>
      <c r="Z150" s="80"/>
      <c r="AA150" s="80"/>
      <c r="AB150" s="31"/>
      <c r="AC150" s="31"/>
      <c r="AD150" s="31"/>
      <c r="AE150" s="31"/>
      <c r="AK150" s="31"/>
      <c r="AL150" s="31"/>
    </row>
    <row r="151" spans="1:38" ht="12.75" customHeight="1" x14ac:dyDescent="0.25">
      <c r="A151" s="114" t="str">
        <f t="shared" si="40"/>
        <v/>
      </c>
      <c r="B151" s="265" t="str">
        <f t="shared" si="41"/>
        <v/>
      </c>
      <c r="C151" s="864" t="str">
        <f t="shared" si="42"/>
        <v/>
      </c>
      <c r="D151" s="865"/>
      <c r="E151" s="115" t="str">
        <f t="shared" si="43"/>
        <v/>
      </c>
      <c r="F151" s="266" t="str">
        <f t="shared" si="44"/>
        <v/>
      </c>
      <c r="G151" s="116" t="str">
        <f t="shared" si="45"/>
        <v/>
      </c>
      <c r="H151" s="184" t="str">
        <f t="shared" si="46"/>
        <v/>
      </c>
      <c r="I151" s="318" t="str">
        <f t="shared" si="47"/>
        <v/>
      </c>
      <c r="J151" s="648" t="str">
        <f t="shared" si="48"/>
        <v/>
      </c>
      <c r="K151" s="265" t="str">
        <f t="shared" si="49"/>
        <v/>
      </c>
      <c r="L151" s="131" t="str">
        <f t="shared" si="50"/>
        <v/>
      </c>
      <c r="M151" s="115" t="str">
        <f t="shared" si="51"/>
        <v/>
      </c>
      <c r="N151" s="267" t="str">
        <f t="shared" si="52"/>
        <v/>
      </c>
      <c r="O151" s="118" t="str">
        <f t="shared" si="53"/>
        <v/>
      </c>
      <c r="P151" s="184" t="str">
        <f t="shared" si="54"/>
        <v/>
      </c>
      <c r="Q151" s="317" t="str">
        <f t="shared" si="55"/>
        <v/>
      </c>
      <c r="R151" s="31"/>
      <c r="S151" s="409">
        <f t="shared" si="56"/>
        <v>0</v>
      </c>
      <c r="T151" s="409">
        <f t="shared" si="57"/>
        <v>0</v>
      </c>
      <c r="U151" s="428"/>
      <c r="V151" s="31"/>
      <c r="W151" s="80"/>
      <c r="X151" s="80"/>
      <c r="Y151" s="80"/>
      <c r="Z151" s="80"/>
      <c r="AA151" s="80"/>
      <c r="AB151" s="31"/>
      <c r="AC151" s="31"/>
      <c r="AD151" s="31"/>
      <c r="AE151" s="31"/>
      <c r="AK151" s="31"/>
      <c r="AL151" s="31"/>
    </row>
    <row r="152" spans="1:38" ht="12.75" customHeight="1" x14ac:dyDescent="0.25">
      <c r="A152" s="114" t="str">
        <f t="shared" si="40"/>
        <v/>
      </c>
      <c r="B152" s="265" t="str">
        <f t="shared" si="41"/>
        <v/>
      </c>
      <c r="C152" s="864" t="str">
        <f t="shared" si="42"/>
        <v/>
      </c>
      <c r="D152" s="865"/>
      <c r="E152" s="115" t="str">
        <f t="shared" si="43"/>
        <v/>
      </c>
      <c r="F152" s="266" t="str">
        <f t="shared" si="44"/>
        <v/>
      </c>
      <c r="G152" s="116" t="str">
        <f t="shared" si="45"/>
        <v/>
      </c>
      <c r="H152" s="184" t="str">
        <f t="shared" si="46"/>
        <v/>
      </c>
      <c r="I152" s="318" t="str">
        <f t="shared" si="47"/>
        <v/>
      </c>
      <c r="J152" s="648" t="str">
        <f t="shared" si="48"/>
        <v/>
      </c>
      <c r="K152" s="265" t="str">
        <f t="shared" si="49"/>
        <v/>
      </c>
      <c r="L152" s="131" t="str">
        <f t="shared" si="50"/>
        <v/>
      </c>
      <c r="M152" s="115" t="str">
        <f t="shared" si="51"/>
        <v/>
      </c>
      <c r="N152" s="267" t="str">
        <f t="shared" si="52"/>
        <v/>
      </c>
      <c r="O152" s="118" t="str">
        <f t="shared" si="53"/>
        <v/>
      </c>
      <c r="P152" s="184" t="str">
        <f t="shared" si="54"/>
        <v/>
      </c>
      <c r="Q152" s="317" t="str">
        <f t="shared" si="55"/>
        <v/>
      </c>
      <c r="R152" s="31"/>
      <c r="S152" s="409">
        <f t="shared" si="56"/>
        <v>0</v>
      </c>
      <c r="T152" s="409">
        <f t="shared" si="57"/>
        <v>0</v>
      </c>
      <c r="U152" s="428"/>
      <c r="V152" s="31"/>
      <c r="W152" s="80"/>
      <c r="X152" s="80"/>
      <c r="Y152" s="80"/>
      <c r="Z152" s="80"/>
      <c r="AA152" s="80"/>
      <c r="AB152" s="31"/>
      <c r="AC152" s="31"/>
      <c r="AD152" s="31"/>
      <c r="AE152" s="31"/>
      <c r="AK152" s="31"/>
      <c r="AL152" s="31"/>
    </row>
    <row r="153" spans="1:38" ht="12.75" customHeight="1" x14ac:dyDescent="0.25">
      <c r="A153" s="114" t="str">
        <f t="shared" si="40"/>
        <v/>
      </c>
      <c r="B153" s="265" t="str">
        <f t="shared" si="41"/>
        <v/>
      </c>
      <c r="C153" s="864" t="str">
        <f t="shared" si="42"/>
        <v/>
      </c>
      <c r="D153" s="865"/>
      <c r="E153" s="115" t="str">
        <f t="shared" si="43"/>
        <v/>
      </c>
      <c r="F153" s="266" t="str">
        <f t="shared" si="44"/>
        <v/>
      </c>
      <c r="G153" s="116" t="str">
        <f t="shared" si="45"/>
        <v/>
      </c>
      <c r="H153" s="184" t="str">
        <f t="shared" si="46"/>
        <v/>
      </c>
      <c r="I153" s="318" t="str">
        <f t="shared" si="47"/>
        <v/>
      </c>
      <c r="J153" s="648" t="str">
        <f t="shared" si="48"/>
        <v/>
      </c>
      <c r="K153" s="265" t="str">
        <f t="shared" si="49"/>
        <v/>
      </c>
      <c r="L153" s="131" t="str">
        <f t="shared" si="50"/>
        <v/>
      </c>
      <c r="M153" s="115" t="str">
        <f t="shared" si="51"/>
        <v/>
      </c>
      <c r="N153" s="267" t="str">
        <f t="shared" si="52"/>
        <v/>
      </c>
      <c r="O153" s="118" t="str">
        <f t="shared" si="53"/>
        <v/>
      </c>
      <c r="P153" s="184" t="str">
        <f t="shared" si="54"/>
        <v/>
      </c>
      <c r="Q153" s="317" t="str">
        <f t="shared" si="55"/>
        <v/>
      </c>
      <c r="R153" s="31"/>
      <c r="S153" s="409">
        <f t="shared" si="56"/>
        <v>0</v>
      </c>
      <c r="T153" s="409">
        <f t="shared" si="57"/>
        <v>0</v>
      </c>
      <c r="U153" s="428"/>
      <c r="V153" s="31"/>
      <c r="W153" s="80"/>
      <c r="X153" s="80"/>
      <c r="Y153" s="80"/>
      <c r="Z153" s="80"/>
      <c r="AA153" s="80"/>
      <c r="AB153" s="31"/>
      <c r="AC153" s="31"/>
      <c r="AD153" s="31"/>
      <c r="AE153" s="31"/>
      <c r="AK153" s="31"/>
      <c r="AL153" s="31"/>
    </row>
    <row r="154" spans="1:38" ht="12.75" customHeight="1" x14ac:dyDescent="0.25">
      <c r="A154" s="114" t="str">
        <f t="shared" si="40"/>
        <v/>
      </c>
      <c r="B154" s="265" t="str">
        <f t="shared" si="41"/>
        <v/>
      </c>
      <c r="C154" s="864" t="str">
        <f t="shared" si="42"/>
        <v/>
      </c>
      <c r="D154" s="865"/>
      <c r="E154" s="115" t="str">
        <f t="shared" si="43"/>
        <v/>
      </c>
      <c r="F154" s="266" t="str">
        <f t="shared" si="44"/>
        <v/>
      </c>
      <c r="G154" s="116" t="str">
        <f t="shared" si="45"/>
        <v/>
      </c>
      <c r="H154" s="184" t="str">
        <f t="shared" si="46"/>
        <v/>
      </c>
      <c r="I154" s="318" t="str">
        <f t="shared" si="47"/>
        <v/>
      </c>
      <c r="J154" s="648" t="str">
        <f t="shared" si="48"/>
        <v/>
      </c>
      <c r="K154" s="265" t="str">
        <f t="shared" si="49"/>
        <v/>
      </c>
      <c r="L154" s="131" t="str">
        <f t="shared" si="50"/>
        <v/>
      </c>
      <c r="M154" s="115" t="str">
        <f t="shared" si="51"/>
        <v/>
      </c>
      <c r="N154" s="267" t="str">
        <f t="shared" si="52"/>
        <v/>
      </c>
      <c r="O154" s="118" t="str">
        <f t="shared" si="53"/>
        <v/>
      </c>
      <c r="P154" s="184" t="str">
        <f t="shared" si="54"/>
        <v/>
      </c>
      <c r="Q154" s="317" t="str">
        <f t="shared" si="55"/>
        <v/>
      </c>
      <c r="R154" s="31"/>
      <c r="S154" s="409">
        <f t="shared" si="56"/>
        <v>0</v>
      </c>
      <c r="T154" s="409">
        <f t="shared" si="57"/>
        <v>0</v>
      </c>
      <c r="U154" s="428"/>
      <c r="V154" s="31"/>
      <c r="W154" s="80"/>
      <c r="X154" s="80"/>
      <c r="Y154" s="80"/>
      <c r="Z154" s="80"/>
      <c r="AA154" s="80"/>
      <c r="AB154" s="31"/>
      <c r="AC154" s="31"/>
      <c r="AD154" s="31"/>
      <c r="AE154" s="31"/>
      <c r="AK154" s="31"/>
      <c r="AL154" s="31"/>
    </row>
    <row r="155" spans="1:38" ht="12.75" customHeight="1" x14ac:dyDescent="0.25">
      <c r="A155" s="114" t="str">
        <f t="shared" si="40"/>
        <v/>
      </c>
      <c r="B155" s="265" t="str">
        <f t="shared" si="41"/>
        <v/>
      </c>
      <c r="C155" s="864" t="str">
        <f t="shared" si="42"/>
        <v/>
      </c>
      <c r="D155" s="865"/>
      <c r="E155" s="115" t="str">
        <f t="shared" si="43"/>
        <v/>
      </c>
      <c r="F155" s="266" t="str">
        <f t="shared" si="44"/>
        <v/>
      </c>
      <c r="G155" s="116" t="str">
        <f t="shared" si="45"/>
        <v/>
      </c>
      <c r="H155" s="184" t="str">
        <f t="shared" si="46"/>
        <v/>
      </c>
      <c r="I155" s="318" t="str">
        <f t="shared" si="47"/>
        <v/>
      </c>
      <c r="J155" s="648" t="str">
        <f t="shared" si="48"/>
        <v/>
      </c>
      <c r="K155" s="265" t="str">
        <f t="shared" si="49"/>
        <v/>
      </c>
      <c r="L155" s="131" t="str">
        <f t="shared" si="50"/>
        <v/>
      </c>
      <c r="M155" s="115" t="str">
        <f t="shared" si="51"/>
        <v/>
      </c>
      <c r="N155" s="267" t="str">
        <f t="shared" si="52"/>
        <v/>
      </c>
      <c r="O155" s="118" t="str">
        <f t="shared" si="53"/>
        <v/>
      </c>
      <c r="P155" s="184" t="str">
        <f t="shared" si="54"/>
        <v/>
      </c>
      <c r="Q155" s="317" t="str">
        <f t="shared" si="55"/>
        <v/>
      </c>
      <c r="R155" s="31"/>
      <c r="S155" s="409">
        <f t="shared" si="56"/>
        <v>0</v>
      </c>
      <c r="T155" s="409">
        <f t="shared" si="57"/>
        <v>0</v>
      </c>
      <c r="U155" s="428"/>
      <c r="V155" s="31"/>
      <c r="W155" s="80"/>
      <c r="X155" s="80"/>
      <c r="Y155" s="80"/>
      <c r="Z155" s="80"/>
      <c r="AA155" s="80"/>
      <c r="AB155" s="31"/>
      <c r="AC155" s="31"/>
      <c r="AD155" s="31"/>
      <c r="AE155" s="31"/>
      <c r="AK155" s="31"/>
      <c r="AL155" s="31"/>
    </row>
    <row r="156" spans="1:38" ht="12.75" customHeight="1" x14ac:dyDescent="0.25">
      <c r="A156" s="114" t="str">
        <f t="shared" si="40"/>
        <v/>
      </c>
      <c r="B156" s="265" t="str">
        <f t="shared" si="41"/>
        <v/>
      </c>
      <c r="C156" s="864" t="str">
        <f t="shared" si="42"/>
        <v/>
      </c>
      <c r="D156" s="865"/>
      <c r="E156" s="115" t="str">
        <f t="shared" si="43"/>
        <v/>
      </c>
      <c r="F156" s="266" t="str">
        <f t="shared" si="44"/>
        <v/>
      </c>
      <c r="G156" s="116" t="str">
        <f t="shared" si="45"/>
        <v/>
      </c>
      <c r="H156" s="184" t="str">
        <f t="shared" si="46"/>
        <v/>
      </c>
      <c r="I156" s="318" t="str">
        <f t="shared" si="47"/>
        <v/>
      </c>
      <c r="J156" s="648" t="str">
        <f t="shared" si="48"/>
        <v/>
      </c>
      <c r="K156" s="265" t="str">
        <f t="shared" si="49"/>
        <v/>
      </c>
      <c r="L156" s="131" t="str">
        <f t="shared" si="50"/>
        <v/>
      </c>
      <c r="M156" s="115" t="str">
        <f t="shared" si="51"/>
        <v/>
      </c>
      <c r="N156" s="267" t="str">
        <f t="shared" si="52"/>
        <v/>
      </c>
      <c r="O156" s="118" t="str">
        <f t="shared" si="53"/>
        <v/>
      </c>
      <c r="P156" s="184" t="str">
        <f t="shared" si="54"/>
        <v/>
      </c>
      <c r="Q156" s="317" t="str">
        <f t="shared" si="55"/>
        <v/>
      </c>
      <c r="R156" s="31"/>
      <c r="S156" s="409">
        <f t="shared" si="56"/>
        <v>0</v>
      </c>
      <c r="T156" s="409">
        <f t="shared" si="57"/>
        <v>0</v>
      </c>
      <c r="U156" s="428"/>
      <c r="V156" s="31"/>
      <c r="W156" s="80"/>
      <c r="X156" s="80"/>
      <c r="Y156" s="80"/>
      <c r="Z156" s="80"/>
      <c r="AA156" s="80"/>
      <c r="AB156" s="31"/>
      <c r="AC156" s="31"/>
      <c r="AD156" s="31"/>
      <c r="AE156" s="31"/>
      <c r="AK156" s="31"/>
      <c r="AL156" s="31"/>
    </row>
    <row r="157" spans="1:38" ht="12.75" customHeight="1" x14ac:dyDescent="0.25">
      <c r="A157" s="114" t="str">
        <f t="shared" si="40"/>
        <v/>
      </c>
      <c r="B157" s="265" t="str">
        <f t="shared" si="41"/>
        <v/>
      </c>
      <c r="C157" s="864" t="str">
        <f t="shared" si="42"/>
        <v/>
      </c>
      <c r="D157" s="865"/>
      <c r="E157" s="115" t="str">
        <f t="shared" si="43"/>
        <v/>
      </c>
      <c r="F157" s="266" t="str">
        <f t="shared" si="44"/>
        <v/>
      </c>
      <c r="G157" s="116" t="str">
        <f t="shared" si="45"/>
        <v/>
      </c>
      <c r="H157" s="184" t="str">
        <f t="shared" si="46"/>
        <v/>
      </c>
      <c r="I157" s="318" t="str">
        <f t="shared" si="47"/>
        <v/>
      </c>
      <c r="J157" s="648" t="str">
        <f t="shared" si="48"/>
        <v/>
      </c>
      <c r="K157" s="265" t="str">
        <f t="shared" si="49"/>
        <v/>
      </c>
      <c r="L157" s="131" t="str">
        <f t="shared" si="50"/>
        <v/>
      </c>
      <c r="M157" s="115" t="str">
        <f t="shared" si="51"/>
        <v/>
      </c>
      <c r="N157" s="267" t="str">
        <f t="shared" si="52"/>
        <v/>
      </c>
      <c r="O157" s="118" t="str">
        <f t="shared" si="53"/>
        <v/>
      </c>
      <c r="P157" s="184" t="str">
        <f t="shared" si="54"/>
        <v/>
      </c>
      <c r="Q157" s="317" t="str">
        <f t="shared" si="55"/>
        <v/>
      </c>
      <c r="R157" s="31"/>
      <c r="S157" s="409">
        <f t="shared" si="56"/>
        <v>0</v>
      </c>
      <c r="T157" s="409">
        <f t="shared" si="57"/>
        <v>0</v>
      </c>
      <c r="U157" s="428"/>
      <c r="V157" s="31"/>
      <c r="W157" s="80"/>
      <c r="X157" s="80"/>
      <c r="Y157" s="80"/>
      <c r="Z157" s="80"/>
      <c r="AA157" s="80"/>
      <c r="AB157" s="31"/>
      <c r="AC157" s="31"/>
      <c r="AD157" s="31"/>
      <c r="AE157" s="31"/>
      <c r="AK157" s="31"/>
      <c r="AL157" s="31"/>
    </row>
    <row r="158" spans="1:38" ht="12.75" customHeight="1" x14ac:dyDescent="0.25">
      <c r="A158" s="114" t="str">
        <f t="shared" si="40"/>
        <v/>
      </c>
      <c r="B158" s="265" t="str">
        <f t="shared" si="41"/>
        <v/>
      </c>
      <c r="C158" s="864" t="str">
        <f t="shared" si="42"/>
        <v/>
      </c>
      <c r="D158" s="865"/>
      <c r="E158" s="115" t="str">
        <f t="shared" si="43"/>
        <v/>
      </c>
      <c r="F158" s="266" t="str">
        <f t="shared" si="44"/>
        <v/>
      </c>
      <c r="G158" s="116" t="str">
        <f t="shared" si="45"/>
        <v/>
      </c>
      <c r="H158" s="184" t="str">
        <f t="shared" si="46"/>
        <v/>
      </c>
      <c r="I158" s="318" t="str">
        <f t="shared" si="47"/>
        <v/>
      </c>
      <c r="J158" s="648" t="str">
        <f t="shared" si="48"/>
        <v/>
      </c>
      <c r="K158" s="265" t="str">
        <f t="shared" si="49"/>
        <v/>
      </c>
      <c r="L158" s="131" t="str">
        <f t="shared" si="50"/>
        <v/>
      </c>
      <c r="M158" s="115" t="str">
        <f t="shared" si="51"/>
        <v/>
      </c>
      <c r="N158" s="267" t="str">
        <f t="shared" si="52"/>
        <v/>
      </c>
      <c r="O158" s="118" t="str">
        <f t="shared" si="53"/>
        <v/>
      </c>
      <c r="P158" s="184" t="str">
        <f t="shared" si="54"/>
        <v/>
      </c>
      <c r="Q158" s="317" t="str">
        <f t="shared" si="55"/>
        <v/>
      </c>
      <c r="R158" s="31"/>
      <c r="S158" s="409">
        <f t="shared" si="56"/>
        <v>0</v>
      </c>
      <c r="T158" s="409">
        <f t="shared" si="57"/>
        <v>0</v>
      </c>
      <c r="U158" s="428"/>
      <c r="V158" s="31"/>
      <c r="W158" s="80"/>
      <c r="X158" s="80"/>
      <c r="Y158" s="80"/>
      <c r="Z158" s="80"/>
      <c r="AA158" s="80"/>
      <c r="AB158" s="31"/>
      <c r="AC158" s="31"/>
      <c r="AD158" s="31"/>
      <c r="AE158" s="31"/>
      <c r="AK158" s="31"/>
      <c r="AL158" s="31"/>
    </row>
    <row r="159" spans="1:38" ht="12.75" customHeight="1" x14ac:dyDescent="0.25">
      <c r="A159" s="114" t="str">
        <f t="shared" si="40"/>
        <v/>
      </c>
      <c r="B159" s="265" t="str">
        <f t="shared" si="41"/>
        <v/>
      </c>
      <c r="C159" s="864" t="str">
        <f t="shared" si="42"/>
        <v/>
      </c>
      <c r="D159" s="865"/>
      <c r="E159" s="115" t="str">
        <f t="shared" si="43"/>
        <v/>
      </c>
      <c r="F159" s="266" t="str">
        <f t="shared" si="44"/>
        <v/>
      </c>
      <c r="G159" s="116" t="str">
        <f t="shared" si="45"/>
        <v/>
      </c>
      <c r="H159" s="184" t="str">
        <f t="shared" si="46"/>
        <v/>
      </c>
      <c r="I159" s="318" t="str">
        <f t="shared" si="47"/>
        <v/>
      </c>
      <c r="J159" s="648" t="str">
        <f t="shared" si="48"/>
        <v/>
      </c>
      <c r="K159" s="265" t="str">
        <f t="shared" si="49"/>
        <v/>
      </c>
      <c r="L159" s="131" t="str">
        <f t="shared" si="50"/>
        <v/>
      </c>
      <c r="M159" s="115" t="str">
        <f t="shared" si="51"/>
        <v/>
      </c>
      <c r="N159" s="267" t="str">
        <f t="shared" si="52"/>
        <v/>
      </c>
      <c r="O159" s="118" t="str">
        <f t="shared" si="53"/>
        <v/>
      </c>
      <c r="P159" s="184" t="str">
        <f t="shared" si="54"/>
        <v/>
      </c>
      <c r="Q159" s="317" t="str">
        <f t="shared" si="55"/>
        <v/>
      </c>
      <c r="R159" s="31"/>
      <c r="S159" s="409">
        <f t="shared" si="56"/>
        <v>0</v>
      </c>
      <c r="T159" s="409">
        <f t="shared" si="57"/>
        <v>0</v>
      </c>
      <c r="U159" s="428"/>
      <c r="V159" s="31"/>
      <c r="W159" s="80"/>
      <c r="X159" s="80"/>
      <c r="Y159" s="80"/>
      <c r="Z159" s="80"/>
      <c r="AA159" s="80"/>
      <c r="AB159" s="31"/>
      <c r="AC159" s="31"/>
      <c r="AD159" s="31"/>
      <c r="AE159" s="31"/>
      <c r="AK159" s="31"/>
      <c r="AL159" s="31"/>
    </row>
    <row r="160" spans="1:38" ht="12.75" customHeight="1" x14ac:dyDescent="0.25">
      <c r="A160" s="114" t="str">
        <f t="shared" si="40"/>
        <v/>
      </c>
      <c r="B160" s="265" t="str">
        <f t="shared" si="41"/>
        <v/>
      </c>
      <c r="C160" s="864" t="str">
        <f t="shared" si="42"/>
        <v/>
      </c>
      <c r="D160" s="865"/>
      <c r="E160" s="115" t="str">
        <f t="shared" si="43"/>
        <v/>
      </c>
      <c r="F160" s="266" t="str">
        <f t="shared" si="44"/>
        <v/>
      </c>
      <c r="G160" s="116" t="str">
        <f t="shared" si="45"/>
        <v/>
      </c>
      <c r="H160" s="184" t="str">
        <f t="shared" si="46"/>
        <v/>
      </c>
      <c r="I160" s="318" t="str">
        <f t="shared" si="47"/>
        <v/>
      </c>
      <c r="J160" s="648" t="str">
        <f t="shared" si="48"/>
        <v/>
      </c>
      <c r="K160" s="265" t="str">
        <f t="shared" si="49"/>
        <v/>
      </c>
      <c r="L160" s="131" t="str">
        <f t="shared" si="50"/>
        <v/>
      </c>
      <c r="M160" s="115" t="str">
        <f t="shared" si="51"/>
        <v/>
      </c>
      <c r="N160" s="267" t="str">
        <f t="shared" si="52"/>
        <v/>
      </c>
      <c r="O160" s="118" t="str">
        <f t="shared" si="53"/>
        <v/>
      </c>
      <c r="P160" s="184" t="str">
        <f t="shared" si="54"/>
        <v/>
      </c>
      <c r="Q160" s="317" t="str">
        <f t="shared" si="55"/>
        <v/>
      </c>
      <c r="R160" s="31"/>
      <c r="S160" s="409">
        <f t="shared" si="56"/>
        <v>0</v>
      </c>
      <c r="T160" s="409">
        <f t="shared" si="57"/>
        <v>0</v>
      </c>
      <c r="U160" s="428"/>
      <c r="V160" s="31"/>
      <c r="W160" s="80"/>
      <c r="X160" s="80"/>
      <c r="Y160" s="80"/>
      <c r="Z160" s="80"/>
      <c r="AA160" s="80"/>
      <c r="AB160" s="31"/>
      <c r="AC160" s="31"/>
      <c r="AD160" s="31"/>
      <c r="AE160" s="31"/>
      <c r="AK160" s="31"/>
      <c r="AL160" s="31"/>
    </row>
    <row r="161" spans="1:38" ht="12.75" customHeight="1" x14ac:dyDescent="0.25">
      <c r="A161" s="114" t="str">
        <f t="shared" si="40"/>
        <v/>
      </c>
      <c r="B161" s="265" t="str">
        <f t="shared" si="41"/>
        <v/>
      </c>
      <c r="C161" s="864" t="str">
        <f t="shared" si="42"/>
        <v/>
      </c>
      <c r="D161" s="865"/>
      <c r="E161" s="115" t="str">
        <f t="shared" si="43"/>
        <v/>
      </c>
      <c r="F161" s="266" t="str">
        <f t="shared" si="44"/>
        <v/>
      </c>
      <c r="G161" s="116" t="str">
        <f t="shared" si="45"/>
        <v/>
      </c>
      <c r="H161" s="184" t="str">
        <f t="shared" si="46"/>
        <v/>
      </c>
      <c r="I161" s="318" t="str">
        <f t="shared" si="47"/>
        <v/>
      </c>
      <c r="J161" s="648" t="str">
        <f t="shared" si="48"/>
        <v/>
      </c>
      <c r="K161" s="265" t="str">
        <f t="shared" si="49"/>
        <v/>
      </c>
      <c r="L161" s="131" t="str">
        <f t="shared" si="50"/>
        <v/>
      </c>
      <c r="M161" s="115" t="str">
        <f t="shared" si="51"/>
        <v/>
      </c>
      <c r="N161" s="267" t="str">
        <f t="shared" si="52"/>
        <v/>
      </c>
      <c r="O161" s="118" t="str">
        <f t="shared" si="53"/>
        <v/>
      </c>
      <c r="P161" s="184" t="str">
        <f t="shared" si="54"/>
        <v/>
      </c>
      <c r="Q161" s="317" t="str">
        <f t="shared" si="55"/>
        <v/>
      </c>
      <c r="R161" s="31"/>
      <c r="S161" s="409">
        <f t="shared" si="56"/>
        <v>0</v>
      </c>
      <c r="T161" s="409">
        <f t="shared" si="57"/>
        <v>0</v>
      </c>
      <c r="U161" s="428"/>
      <c r="V161" s="31"/>
      <c r="W161" s="80"/>
      <c r="X161" s="80"/>
      <c r="Y161" s="80"/>
      <c r="Z161" s="80"/>
      <c r="AA161" s="80"/>
      <c r="AB161" s="31"/>
      <c r="AC161" s="31"/>
      <c r="AD161" s="31"/>
      <c r="AE161" s="31"/>
      <c r="AK161" s="31"/>
      <c r="AL161" s="31"/>
    </row>
    <row r="162" spans="1:38" ht="12.75" customHeight="1" x14ac:dyDescent="0.25">
      <c r="A162" s="114" t="str">
        <f t="shared" si="40"/>
        <v/>
      </c>
      <c r="B162" s="265" t="str">
        <f t="shared" si="41"/>
        <v/>
      </c>
      <c r="C162" s="864" t="str">
        <f t="shared" si="42"/>
        <v/>
      </c>
      <c r="D162" s="865"/>
      <c r="E162" s="115" t="str">
        <f t="shared" si="43"/>
        <v/>
      </c>
      <c r="F162" s="266" t="str">
        <f t="shared" si="44"/>
        <v/>
      </c>
      <c r="G162" s="116" t="str">
        <f t="shared" si="45"/>
        <v/>
      </c>
      <c r="H162" s="184" t="str">
        <f t="shared" si="46"/>
        <v/>
      </c>
      <c r="I162" s="318" t="str">
        <f t="shared" si="47"/>
        <v/>
      </c>
      <c r="J162" s="648" t="str">
        <f t="shared" si="48"/>
        <v/>
      </c>
      <c r="K162" s="265" t="str">
        <f t="shared" si="49"/>
        <v/>
      </c>
      <c r="L162" s="131" t="str">
        <f t="shared" si="50"/>
        <v/>
      </c>
      <c r="M162" s="115" t="str">
        <f t="shared" si="51"/>
        <v/>
      </c>
      <c r="N162" s="267" t="str">
        <f t="shared" si="52"/>
        <v/>
      </c>
      <c r="O162" s="118" t="str">
        <f t="shared" si="53"/>
        <v/>
      </c>
      <c r="P162" s="184" t="str">
        <f t="shared" si="54"/>
        <v/>
      </c>
      <c r="Q162" s="317" t="str">
        <f t="shared" si="55"/>
        <v/>
      </c>
      <c r="R162" s="31"/>
      <c r="S162" s="409">
        <f t="shared" si="56"/>
        <v>0</v>
      </c>
      <c r="T162" s="409">
        <f t="shared" si="57"/>
        <v>0</v>
      </c>
      <c r="U162" s="428"/>
      <c r="V162" s="31"/>
      <c r="W162" s="80"/>
      <c r="X162" s="80"/>
      <c r="Y162" s="80"/>
      <c r="Z162" s="80"/>
      <c r="AA162" s="80"/>
      <c r="AB162" s="31"/>
      <c r="AC162" s="31"/>
      <c r="AD162" s="31"/>
      <c r="AE162" s="31"/>
      <c r="AK162" s="31"/>
      <c r="AL162" s="31"/>
    </row>
    <row r="163" spans="1:38" ht="12.75" customHeight="1" x14ac:dyDescent="0.25">
      <c r="A163" s="114" t="str">
        <f t="shared" si="40"/>
        <v/>
      </c>
      <c r="B163" s="265" t="str">
        <f t="shared" si="41"/>
        <v/>
      </c>
      <c r="C163" s="864" t="str">
        <f t="shared" si="42"/>
        <v/>
      </c>
      <c r="D163" s="865"/>
      <c r="E163" s="115" t="str">
        <f t="shared" si="43"/>
        <v/>
      </c>
      <c r="F163" s="266" t="str">
        <f t="shared" si="44"/>
        <v/>
      </c>
      <c r="G163" s="116" t="str">
        <f t="shared" si="45"/>
        <v/>
      </c>
      <c r="H163" s="184" t="str">
        <f t="shared" si="46"/>
        <v/>
      </c>
      <c r="I163" s="318" t="str">
        <f t="shared" si="47"/>
        <v/>
      </c>
      <c r="J163" s="648" t="str">
        <f t="shared" si="48"/>
        <v/>
      </c>
      <c r="K163" s="265" t="str">
        <f t="shared" si="49"/>
        <v/>
      </c>
      <c r="L163" s="131" t="str">
        <f t="shared" si="50"/>
        <v/>
      </c>
      <c r="M163" s="115" t="str">
        <f t="shared" si="51"/>
        <v/>
      </c>
      <c r="N163" s="267" t="str">
        <f t="shared" si="52"/>
        <v/>
      </c>
      <c r="O163" s="118" t="str">
        <f t="shared" si="53"/>
        <v/>
      </c>
      <c r="P163" s="184" t="str">
        <f t="shared" si="54"/>
        <v/>
      </c>
      <c r="Q163" s="317" t="str">
        <f t="shared" si="55"/>
        <v/>
      </c>
      <c r="R163" s="31"/>
      <c r="S163" s="409">
        <f t="shared" si="56"/>
        <v>0</v>
      </c>
      <c r="T163" s="409">
        <f t="shared" si="57"/>
        <v>0</v>
      </c>
      <c r="U163" s="428"/>
      <c r="V163" s="31"/>
      <c r="W163" s="80"/>
      <c r="X163" s="80"/>
      <c r="Y163" s="80"/>
      <c r="Z163" s="80"/>
      <c r="AA163" s="80"/>
      <c r="AB163" s="31"/>
      <c r="AC163" s="31"/>
      <c r="AD163" s="31"/>
      <c r="AE163" s="31"/>
      <c r="AK163" s="31"/>
      <c r="AL163" s="31"/>
    </row>
    <row r="164" spans="1:38" ht="12.75" customHeight="1" x14ac:dyDescent="0.25">
      <c r="A164" s="114" t="str">
        <f t="shared" si="40"/>
        <v/>
      </c>
      <c r="B164" s="265" t="str">
        <f t="shared" si="41"/>
        <v/>
      </c>
      <c r="C164" s="864" t="str">
        <f t="shared" si="42"/>
        <v/>
      </c>
      <c r="D164" s="865"/>
      <c r="E164" s="115" t="str">
        <f t="shared" si="43"/>
        <v/>
      </c>
      <c r="F164" s="266" t="str">
        <f t="shared" si="44"/>
        <v/>
      </c>
      <c r="G164" s="116" t="str">
        <f t="shared" si="45"/>
        <v/>
      </c>
      <c r="H164" s="184" t="str">
        <f t="shared" si="46"/>
        <v/>
      </c>
      <c r="I164" s="318" t="str">
        <f t="shared" si="47"/>
        <v/>
      </c>
      <c r="J164" s="648" t="str">
        <f t="shared" si="48"/>
        <v/>
      </c>
      <c r="K164" s="265" t="str">
        <f t="shared" si="49"/>
        <v/>
      </c>
      <c r="L164" s="131" t="str">
        <f t="shared" si="50"/>
        <v/>
      </c>
      <c r="M164" s="115" t="str">
        <f t="shared" si="51"/>
        <v/>
      </c>
      <c r="N164" s="267" t="str">
        <f t="shared" si="52"/>
        <v/>
      </c>
      <c r="O164" s="118" t="str">
        <f t="shared" si="53"/>
        <v/>
      </c>
      <c r="P164" s="184" t="str">
        <f t="shared" si="54"/>
        <v/>
      </c>
      <c r="Q164" s="317" t="str">
        <f t="shared" si="55"/>
        <v/>
      </c>
      <c r="R164" s="31"/>
      <c r="S164" s="409">
        <f t="shared" si="56"/>
        <v>0</v>
      </c>
      <c r="T164" s="409">
        <f t="shared" si="57"/>
        <v>0</v>
      </c>
      <c r="U164" s="428"/>
      <c r="V164" s="31"/>
      <c r="W164" s="80"/>
      <c r="X164" s="80"/>
      <c r="Y164" s="80"/>
      <c r="Z164" s="80"/>
      <c r="AA164" s="80"/>
      <c r="AB164" s="31"/>
      <c r="AC164" s="31"/>
      <c r="AD164" s="31"/>
      <c r="AE164" s="31"/>
      <c r="AK164" s="31"/>
      <c r="AL164" s="31"/>
    </row>
    <row r="165" spans="1:38" ht="12.75" customHeight="1" x14ac:dyDescent="0.25">
      <c r="A165" s="114" t="str">
        <f t="shared" si="40"/>
        <v/>
      </c>
      <c r="B165" s="265" t="str">
        <f t="shared" si="41"/>
        <v/>
      </c>
      <c r="C165" s="864" t="str">
        <f t="shared" si="42"/>
        <v/>
      </c>
      <c r="D165" s="865"/>
      <c r="E165" s="115" t="str">
        <f t="shared" si="43"/>
        <v/>
      </c>
      <c r="F165" s="266" t="str">
        <f t="shared" si="44"/>
        <v/>
      </c>
      <c r="G165" s="116" t="str">
        <f t="shared" si="45"/>
        <v/>
      </c>
      <c r="H165" s="184" t="str">
        <f t="shared" si="46"/>
        <v/>
      </c>
      <c r="I165" s="318" t="str">
        <f t="shared" si="47"/>
        <v/>
      </c>
      <c r="J165" s="648" t="str">
        <f t="shared" si="48"/>
        <v/>
      </c>
      <c r="K165" s="265" t="str">
        <f t="shared" si="49"/>
        <v/>
      </c>
      <c r="L165" s="131" t="str">
        <f t="shared" si="50"/>
        <v/>
      </c>
      <c r="M165" s="115" t="str">
        <f t="shared" si="51"/>
        <v/>
      </c>
      <c r="N165" s="267" t="str">
        <f t="shared" si="52"/>
        <v/>
      </c>
      <c r="O165" s="118" t="str">
        <f t="shared" si="53"/>
        <v/>
      </c>
      <c r="P165" s="184" t="str">
        <f t="shared" si="54"/>
        <v/>
      </c>
      <c r="Q165" s="317" t="str">
        <f t="shared" si="55"/>
        <v/>
      </c>
      <c r="R165" s="31"/>
      <c r="S165" s="409">
        <f t="shared" si="56"/>
        <v>0</v>
      </c>
      <c r="T165" s="409">
        <f t="shared" si="57"/>
        <v>0</v>
      </c>
      <c r="U165" s="428"/>
      <c r="V165" s="31"/>
      <c r="W165" s="80"/>
      <c r="X165" s="80"/>
      <c r="Y165" s="80"/>
      <c r="Z165" s="80"/>
      <c r="AA165" s="80"/>
      <c r="AB165" s="31"/>
      <c r="AC165" s="31"/>
      <c r="AD165" s="31"/>
      <c r="AE165" s="31"/>
      <c r="AK165" s="31"/>
      <c r="AL165" s="31"/>
    </row>
    <row r="166" spans="1:38" ht="12.75" customHeight="1" x14ac:dyDescent="0.25">
      <c r="A166" s="114" t="str">
        <f t="shared" si="40"/>
        <v/>
      </c>
      <c r="B166" s="265" t="str">
        <f t="shared" si="41"/>
        <v/>
      </c>
      <c r="C166" s="864" t="str">
        <f t="shared" si="42"/>
        <v/>
      </c>
      <c r="D166" s="865"/>
      <c r="E166" s="115" t="str">
        <f t="shared" si="43"/>
        <v/>
      </c>
      <c r="F166" s="266" t="str">
        <f t="shared" si="44"/>
        <v/>
      </c>
      <c r="G166" s="116" t="str">
        <f t="shared" si="45"/>
        <v/>
      </c>
      <c r="H166" s="184" t="str">
        <f t="shared" si="46"/>
        <v/>
      </c>
      <c r="I166" s="318" t="str">
        <f t="shared" si="47"/>
        <v/>
      </c>
      <c r="J166" s="648" t="str">
        <f t="shared" si="48"/>
        <v/>
      </c>
      <c r="K166" s="265" t="str">
        <f t="shared" si="49"/>
        <v/>
      </c>
      <c r="L166" s="131" t="str">
        <f t="shared" si="50"/>
        <v/>
      </c>
      <c r="M166" s="115" t="str">
        <f t="shared" si="51"/>
        <v/>
      </c>
      <c r="N166" s="267" t="str">
        <f t="shared" si="52"/>
        <v/>
      </c>
      <c r="O166" s="118" t="str">
        <f t="shared" si="53"/>
        <v/>
      </c>
      <c r="P166" s="184" t="str">
        <f t="shared" si="54"/>
        <v/>
      </c>
      <c r="Q166" s="317" t="str">
        <f t="shared" si="55"/>
        <v/>
      </c>
      <c r="R166" s="31"/>
      <c r="S166" s="409">
        <f t="shared" si="56"/>
        <v>0</v>
      </c>
      <c r="T166" s="409">
        <f t="shared" si="57"/>
        <v>0</v>
      </c>
      <c r="U166" s="428"/>
      <c r="V166" s="31"/>
      <c r="W166" s="80"/>
      <c r="X166" s="80"/>
      <c r="Y166" s="80"/>
      <c r="Z166" s="80"/>
      <c r="AA166" s="80"/>
      <c r="AB166" s="31"/>
      <c r="AC166" s="31"/>
      <c r="AD166" s="31"/>
      <c r="AE166" s="31"/>
      <c r="AK166" s="31"/>
      <c r="AL166" s="31"/>
    </row>
    <row r="167" spans="1:38" ht="12.75" customHeight="1" x14ac:dyDescent="0.25">
      <c r="A167" s="114" t="str">
        <f t="shared" si="40"/>
        <v/>
      </c>
      <c r="B167" s="265" t="str">
        <f t="shared" si="41"/>
        <v/>
      </c>
      <c r="C167" s="864" t="str">
        <f t="shared" si="42"/>
        <v/>
      </c>
      <c r="D167" s="865"/>
      <c r="E167" s="115" t="str">
        <f t="shared" si="43"/>
        <v/>
      </c>
      <c r="F167" s="266" t="str">
        <f t="shared" si="44"/>
        <v/>
      </c>
      <c r="G167" s="116" t="str">
        <f t="shared" si="45"/>
        <v/>
      </c>
      <c r="H167" s="184" t="str">
        <f t="shared" si="46"/>
        <v/>
      </c>
      <c r="I167" s="318" t="str">
        <f t="shared" si="47"/>
        <v/>
      </c>
      <c r="J167" s="648" t="str">
        <f t="shared" si="48"/>
        <v/>
      </c>
      <c r="K167" s="265" t="str">
        <f t="shared" si="49"/>
        <v/>
      </c>
      <c r="L167" s="131" t="str">
        <f t="shared" si="50"/>
        <v/>
      </c>
      <c r="M167" s="115" t="str">
        <f t="shared" si="51"/>
        <v/>
      </c>
      <c r="N167" s="267" t="str">
        <f t="shared" si="52"/>
        <v/>
      </c>
      <c r="O167" s="118" t="str">
        <f t="shared" si="53"/>
        <v/>
      </c>
      <c r="P167" s="184" t="str">
        <f t="shared" si="54"/>
        <v/>
      </c>
      <c r="Q167" s="317" t="str">
        <f t="shared" si="55"/>
        <v/>
      </c>
      <c r="R167" s="31"/>
      <c r="S167" s="409">
        <f t="shared" si="56"/>
        <v>0</v>
      </c>
      <c r="T167" s="409">
        <f t="shared" si="57"/>
        <v>0</v>
      </c>
      <c r="U167" s="428"/>
      <c r="V167" s="31"/>
      <c r="W167" s="80"/>
      <c r="X167" s="80"/>
      <c r="Y167" s="80"/>
      <c r="Z167" s="80"/>
      <c r="AA167" s="80"/>
      <c r="AB167" s="31"/>
      <c r="AC167" s="31"/>
      <c r="AD167" s="31"/>
      <c r="AE167" s="31"/>
      <c r="AK167" s="31"/>
      <c r="AL167" s="31"/>
    </row>
    <row r="168" spans="1:38" ht="12.75" customHeight="1" x14ac:dyDescent="0.25">
      <c r="A168" s="114" t="str">
        <f t="shared" si="40"/>
        <v/>
      </c>
      <c r="B168" s="265" t="str">
        <f t="shared" si="41"/>
        <v/>
      </c>
      <c r="C168" s="864" t="str">
        <f t="shared" si="42"/>
        <v/>
      </c>
      <c r="D168" s="865"/>
      <c r="E168" s="115" t="str">
        <f t="shared" si="43"/>
        <v/>
      </c>
      <c r="F168" s="266" t="str">
        <f t="shared" si="44"/>
        <v/>
      </c>
      <c r="G168" s="116" t="str">
        <f t="shared" si="45"/>
        <v/>
      </c>
      <c r="H168" s="184" t="str">
        <f t="shared" si="46"/>
        <v/>
      </c>
      <c r="I168" s="318" t="str">
        <f t="shared" si="47"/>
        <v/>
      </c>
      <c r="J168" s="648" t="str">
        <f t="shared" si="48"/>
        <v/>
      </c>
      <c r="K168" s="265" t="str">
        <f t="shared" si="49"/>
        <v/>
      </c>
      <c r="L168" s="131" t="str">
        <f t="shared" si="50"/>
        <v/>
      </c>
      <c r="M168" s="115" t="str">
        <f t="shared" si="51"/>
        <v/>
      </c>
      <c r="N168" s="267" t="str">
        <f t="shared" si="52"/>
        <v/>
      </c>
      <c r="O168" s="118" t="str">
        <f t="shared" si="53"/>
        <v/>
      </c>
      <c r="P168" s="184" t="str">
        <f t="shared" si="54"/>
        <v/>
      </c>
      <c r="Q168" s="317" t="str">
        <f t="shared" si="55"/>
        <v/>
      </c>
      <c r="R168" s="31"/>
      <c r="S168" s="409">
        <f t="shared" si="56"/>
        <v>0</v>
      </c>
      <c r="T168" s="409">
        <f t="shared" si="57"/>
        <v>0</v>
      </c>
      <c r="U168" s="428"/>
      <c r="V168" s="31"/>
      <c r="W168" s="80"/>
      <c r="X168" s="80"/>
      <c r="Y168" s="80"/>
      <c r="Z168" s="80"/>
      <c r="AA168" s="80"/>
      <c r="AB168" s="31"/>
      <c r="AC168" s="31"/>
      <c r="AD168" s="31"/>
      <c r="AE168" s="31"/>
      <c r="AK168" s="31"/>
      <c r="AL168" s="31"/>
    </row>
    <row r="169" spans="1:38" ht="12.75" customHeight="1" x14ac:dyDescent="0.25">
      <c r="A169" s="114" t="str">
        <f t="shared" si="40"/>
        <v/>
      </c>
      <c r="B169" s="265" t="str">
        <f t="shared" si="41"/>
        <v/>
      </c>
      <c r="C169" s="864" t="str">
        <f t="shared" si="42"/>
        <v/>
      </c>
      <c r="D169" s="865"/>
      <c r="E169" s="115" t="str">
        <f t="shared" si="43"/>
        <v/>
      </c>
      <c r="F169" s="266" t="str">
        <f t="shared" si="44"/>
        <v/>
      </c>
      <c r="G169" s="116" t="str">
        <f t="shared" si="45"/>
        <v/>
      </c>
      <c r="H169" s="184" t="str">
        <f t="shared" si="46"/>
        <v/>
      </c>
      <c r="I169" s="318" t="str">
        <f t="shared" si="47"/>
        <v/>
      </c>
      <c r="J169" s="648" t="str">
        <f t="shared" si="48"/>
        <v/>
      </c>
      <c r="K169" s="265" t="str">
        <f t="shared" si="49"/>
        <v/>
      </c>
      <c r="L169" s="131" t="str">
        <f t="shared" si="50"/>
        <v/>
      </c>
      <c r="M169" s="115" t="str">
        <f t="shared" si="51"/>
        <v/>
      </c>
      <c r="N169" s="267" t="str">
        <f t="shared" si="52"/>
        <v/>
      </c>
      <c r="O169" s="118" t="str">
        <f t="shared" si="53"/>
        <v/>
      </c>
      <c r="P169" s="184" t="str">
        <f t="shared" si="54"/>
        <v/>
      </c>
      <c r="Q169" s="317" t="str">
        <f t="shared" si="55"/>
        <v/>
      </c>
      <c r="R169" s="31"/>
      <c r="S169" s="409">
        <f t="shared" si="56"/>
        <v>0</v>
      </c>
      <c r="T169" s="409">
        <f t="shared" si="57"/>
        <v>0</v>
      </c>
      <c r="U169" s="428"/>
      <c r="V169" s="31"/>
      <c r="W169" s="80"/>
      <c r="X169" s="80"/>
      <c r="Y169" s="80"/>
      <c r="Z169" s="80"/>
      <c r="AA169" s="80"/>
      <c r="AB169" s="31"/>
      <c r="AC169" s="31"/>
      <c r="AD169" s="31"/>
      <c r="AE169" s="31"/>
      <c r="AK169" s="31"/>
      <c r="AL169" s="31"/>
    </row>
    <row r="170" spans="1:38" ht="12.75" customHeight="1" x14ac:dyDescent="0.25">
      <c r="A170" s="114" t="str">
        <f t="shared" si="40"/>
        <v/>
      </c>
      <c r="B170" s="265" t="str">
        <f t="shared" si="41"/>
        <v/>
      </c>
      <c r="C170" s="864" t="str">
        <f t="shared" si="42"/>
        <v/>
      </c>
      <c r="D170" s="865"/>
      <c r="E170" s="115" t="str">
        <f t="shared" si="43"/>
        <v/>
      </c>
      <c r="F170" s="266" t="str">
        <f t="shared" si="44"/>
        <v/>
      </c>
      <c r="G170" s="116" t="str">
        <f t="shared" si="45"/>
        <v/>
      </c>
      <c r="H170" s="184" t="str">
        <f t="shared" si="46"/>
        <v/>
      </c>
      <c r="I170" s="318" t="str">
        <f t="shared" si="47"/>
        <v/>
      </c>
      <c r="J170" s="648" t="str">
        <f t="shared" si="48"/>
        <v/>
      </c>
      <c r="K170" s="265" t="str">
        <f t="shared" si="49"/>
        <v/>
      </c>
      <c r="L170" s="131" t="str">
        <f t="shared" si="50"/>
        <v/>
      </c>
      <c r="M170" s="115" t="str">
        <f t="shared" si="51"/>
        <v/>
      </c>
      <c r="N170" s="267" t="str">
        <f t="shared" si="52"/>
        <v/>
      </c>
      <c r="O170" s="118" t="str">
        <f t="shared" si="53"/>
        <v/>
      </c>
      <c r="P170" s="184" t="str">
        <f t="shared" si="54"/>
        <v/>
      </c>
      <c r="Q170" s="317" t="str">
        <f t="shared" si="55"/>
        <v/>
      </c>
      <c r="R170" s="31"/>
      <c r="S170" s="409">
        <f t="shared" si="56"/>
        <v>0</v>
      </c>
      <c r="T170" s="409">
        <f t="shared" si="57"/>
        <v>0</v>
      </c>
      <c r="U170" s="428"/>
      <c r="V170" s="31"/>
      <c r="W170" s="80"/>
      <c r="X170" s="80"/>
      <c r="Y170" s="80"/>
      <c r="Z170" s="80"/>
      <c r="AA170" s="80"/>
      <c r="AB170" s="31"/>
      <c r="AC170" s="31"/>
      <c r="AD170" s="31"/>
      <c r="AE170" s="31"/>
      <c r="AK170" s="31"/>
      <c r="AL170" s="31"/>
    </row>
    <row r="171" spans="1:38" ht="12.75" customHeight="1" x14ac:dyDescent="0.25">
      <c r="A171" s="114" t="str">
        <f t="shared" si="40"/>
        <v/>
      </c>
      <c r="B171" s="265" t="str">
        <f t="shared" si="41"/>
        <v/>
      </c>
      <c r="C171" s="864" t="str">
        <f t="shared" si="42"/>
        <v/>
      </c>
      <c r="D171" s="865"/>
      <c r="E171" s="115" t="str">
        <f t="shared" si="43"/>
        <v/>
      </c>
      <c r="F171" s="266" t="str">
        <f t="shared" si="44"/>
        <v/>
      </c>
      <c r="G171" s="116" t="str">
        <f t="shared" si="45"/>
        <v/>
      </c>
      <c r="H171" s="184" t="str">
        <f t="shared" si="46"/>
        <v/>
      </c>
      <c r="I171" s="318" t="str">
        <f t="shared" si="47"/>
        <v/>
      </c>
      <c r="J171" s="648" t="str">
        <f t="shared" si="48"/>
        <v/>
      </c>
      <c r="K171" s="265" t="str">
        <f t="shared" si="49"/>
        <v/>
      </c>
      <c r="L171" s="131" t="str">
        <f t="shared" si="50"/>
        <v/>
      </c>
      <c r="M171" s="115" t="str">
        <f t="shared" si="51"/>
        <v/>
      </c>
      <c r="N171" s="267" t="str">
        <f t="shared" si="52"/>
        <v/>
      </c>
      <c r="O171" s="118" t="str">
        <f t="shared" si="53"/>
        <v/>
      </c>
      <c r="P171" s="184" t="str">
        <f t="shared" si="54"/>
        <v/>
      </c>
      <c r="Q171" s="317" t="str">
        <f t="shared" si="55"/>
        <v/>
      </c>
      <c r="R171" s="31"/>
      <c r="S171" s="409">
        <f t="shared" si="56"/>
        <v>0</v>
      </c>
      <c r="T171" s="409">
        <f t="shared" si="57"/>
        <v>0</v>
      </c>
      <c r="U171" s="428"/>
      <c r="V171" s="31"/>
      <c r="W171" s="80"/>
      <c r="X171" s="80"/>
      <c r="Y171" s="80"/>
      <c r="Z171" s="80"/>
      <c r="AA171" s="80"/>
      <c r="AB171" s="31"/>
      <c r="AC171" s="31"/>
      <c r="AD171" s="31"/>
      <c r="AE171" s="31"/>
      <c r="AK171" s="31"/>
      <c r="AL171" s="31"/>
    </row>
    <row r="172" spans="1:38" ht="12.75" customHeight="1" x14ac:dyDescent="0.25">
      <c r="A172" s="114" t="str">
        <f t="shared" si="40"/>
        <v/>
      </c>
      <c r="B172" s="265" t="str">
        <f t="shared" si="41"/>
        <v/>
      </c>
      <c r="C172" s="864" t="str">
        <f t="shared" si="42"/>
        <v/>
      </c>
      <c r="D172" s="865"/>
      <c r="E172" s="115" t="str">
        <f t="shared" si="43"/>
        <v/>
      </c>
      <c r="F172" s="266" t="str">
        <f t="shared" si="44"/>
        <v/>
      </c>
      <c r="G172" s="116" t="str">
        <f t="shared" si="45"/>
        <v/>
      </c>
      <c r="H172" s="184" t="str">
        <f t="shared" si="46"/>
        <v/>
      </c>
      <c r="I172" s="585" t="str">
        <f t="shared" si="47"/>
        <v/>
      </c>
      <c r="J172" s="648" t="str">
        <f t="shared" si="48"/>
        <v/>
      </c>
      <c r="K172" s="265" t="str">
        <f t="shared" si="49"/>
        <v/>
      </c>
      <c r="L172" s="131" t="str">
        <f t="shared" si="50"/>
        <v/>
      </c>
      <c r="M172" s="115" t="str">
        <f t="shared" si="51"/>
        <v/>
      </c>
      <c r="N172" s="267" t="str">
        <f t="shared" si="52"/>
        <v/>
      </c>
      <c r="O172" s="118" t="str">
        <f t="shared" si="53"/>
        <v/>
      </c>
      <c r="P172" s="184" t="str">
        <f t="shared" si="54"/>
        <v/>
      </c>
      <c r="Q172" s="586" t="str">
        <f t="shared" si="55"/>
        <v/>
      </c>
      <c r="R172" s="31"/>
      <c r="S172" s="409">
        <f t="shared" si="56"/>
        <v>0</v>
      </c>
      <c r="T172" s="409">
        <f t="shared" si="57"/>
        <v>0</v>
      </c>
      <c r="U172" s="428"/>
      <c r="V172" s="31"/>
      <c r="W172" s="80"/>
      <c r="X172" s="80"/>
      <c r="Y172" s="80"/>
      <c r="Z172" s="80"/>
      <c r="AA172" s="80"/>
      <c r="AB172" s="31"/>
      <c r="AC172" s="31"/>
      <c r="AD172" s="31"/>
      <c r="AE172" s="31"/>
      <c r="AK172" s="31"/>
      <c r="AL172" s="31"/>
    </row>
    <row r="173" spans="1:38" ht="12.75" customHeight="1" x14ac:dyDescent="0.25">
      <c r="A173" s="122" t="s">
        <v>50</v>
      </c>
      <c r="B173" s="253"/>
      <c r="C173" s="884">
        <f>SUM(C133:C172)</f>
        <v>0</v>
      </c>
      <c r="D173" s="885"/>
      <c r="E173" s="117">
        <f>SUM(E133:E172)</f>
        <v>0</v>
      </c>
      <c r="F173" s="261"/>
      <c r="G173" s="123">
        <f t="shared" ref="G173" si="60">C173+E173</f>
        <v>0</v>
      </c>
      <c r="H173" s="124"/>
      <c r="I173" s="124"/>
      <c r="J173" s="289" t="s">
        <v>46</v>
      </c>
      <c r="K173" s="250"/>
      <c r="L173" s="117">
        <f>SUM(L133:L172)</f>
        <v>0</v>
      </c>
      <c r="M173" s="117">
        <f>SUM(M133:M172)</f>
        <v>0</v>
      </c>
      <c r="N173" s="117"/>
      <c r="O173" s="117">
        <f t="shared" ref="O173" si="61">L173+M173</f>
        <v>0</v>
      </c>
      <c r="P173" s="31"/>
      <c r="Q173" s="31"/>
      <c r="R173" s="31"/>
      <c r="S173" s="416">
        <f>SUM(S133:S172)</f>
        <v>0</v>
      </c>
      <c r="T173" s="416">
        <f>SUM(T133:T172)</f>
        <v>0</v>
      </c>
      <c r="U173" s="429"/>
      <c r="V173" s="31"/>
      <c r="W173" s="80"/>
      <c r="X173" s="80"/>
      <c r="Y173" s="80"/>
      <c r="Z173" s="80"/>
      <c r="AA173" s="80"/>
      <c r="AB173" s="31"/>
      <c r="AC173" s="31"/>
      <c r="AD173" s="31"/>
      <c r="AE173" s="31"/>
      <c r="AF173" s="31"/>
      <c r="AG173" s="19"/>
    </row>
    <row r="174" spans="1:38" ht="12.75" customHeight="1" x14ac:dyDescent="0.25">
      <c r="A174" s="31"/>
      <c r="B174" s="87"/>
      <c r="C174" s="87"/>
      <c r="D174" s="87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80"/>
      <c r="X174" s="80"/>
      <c r="Y174" s="80"/>
      <c r="Z174" s="80"/>
      <c r="AA174" s="80"/>
      <c r="AB174" s="31"/>
      <c r="AC174" s="31"/>
      <c r="AD174" s="31"/>
      <c r="AE174" s="127"/>
      <c r="AF174" s="31"/>
      <c r="AG174" s="19"/>
    </row>
    <row r="175" spans="1:38" x14ac:dyDescent="0.25">
      <c r="A175" s="30"/>
      <c r="B175" s="34"/>
      <c r="C175" s="34"/>
      <c r="D175" s="34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84"/>
      <c r="X175" s="84"/>
      <c r="Y175" s="84"/>
      <c r="Z175" s="84"/>
      <c r="AA175" s="84"/>
      <c r="AB175" s="30"/>
      <c r="AC175" s="30"/>
      <c r="AD175" s="30"/>
      <c r="AE175" s="30"/>
      <c r="AF175" s="30"/>
    </row>
    <row r="176" spans="1:38" x14ac:dyDescent="0.25">
      <c r="A176" s="30"/>
      <c r="B176" s="34"/>
      <c r="C176" s="34"/>
      <c r="D176" s="34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84"/>
      <c r="X176" s="84"/>
      <c r="Y176" s="84"/>
      <c r="Z176" s="84"/>
      <c r="AA176" s="84"/>
      <c r="AB176" s="30"/>
      <c r="AC176" s="30"/>
      <c r="AD176" s="30"/>
      <c r="AE176" s="30"/>
      <c r="AF176" s="30"/>
    </row>
    <row r="177" spans="1:38" ht="12.75" customHeight="1" x14ac:dyDescent="0.25">
      <c r="A177" s="30"/>
      <c r="B177" s="34"/>
      <c r="C177" s="34"/>
      <c r="D177" s="34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1"/>
      <c r="Q177" s="31"/>
      <c r="R177" s="31"/>
      <c r="S177" s="31"/>
      <c r="T177" s="31"/>
      <c r="U177" s="31"/>
      <c r="V177" s="31"/>
      <c r="W177" s="80"/>
      <c r="X177" s="80"/>
      <c r="Y177" s="80"/>
      <c r="Z177" s="80"/>
      <c r="AA177" s="80"/>
      <c r="AB177" s="31"/>
      <c r="AC177" s="31"/>
      <c r="AD177" s="31"/>
      <c r="AE177" s="127"/>
      <c r="AF177" s="31"/>
      <c r="AG177" s="19"/>
    </row>
    <row r="178" spans="1:38" ht="12.75" customHeight="1" x14ac:dyDescent="0.25">
      <c r="A178" s="877" t="s">
        <v>0</v>
      </c>
      <c r="B178" s="878"/>
      <c r="C178" s="878"/>
      <c r="D178" s="878"/>
      <c r="E178" s="878"/>
      <c r="F178" s="878"/>
      <c r="G178" s="878"/>
      <c r="H178" s="878"/>
      <c r="I178" s="878"/>
      <c r="J178" s="878"/>
      <c r="K178" s="878"/>
      <c r="L178" s="878"/>
      <c r="M178" s="878"/>
      <c r="N178" s="878"/>
      <c r="O178" s="878"/>
      <c r="P178" s="31"/>
      <c r="Q178" s="31"/>
      <c r="R178" s="99" t="s">
        <v>146</v>
      </c>
      <c r="S178" s="31"/>
      <c r="T178" s="31"/>
      <c r="U178" s="31"/>
      <c r="V178" s="31"/>
      <c r="W178" s="80"/>
      <c r="X178" s="80"/>
      <c r="Y178" s="80"/>
      <c r="Z178" s="80"/>
      <c r="AA178" s="80"/>
      <c r="AB178" s="31"/>
      <c r="AC178" s="31"/>
      <c r="AD178" s="31"/>
      <c r="AE178" s="127"/>
      <c r="AF178" s="31"/>
      <c r="AG178" s="19"/>
    </row>
    <row r="179" spans="1:38" ht="12.75" customHeight="1" x14ac:dyDescent="0.25">
      <c r="A179" s="877" t="s">
        <v>141</v>
      </c>
      <c r="B179" s="878"/>
      <c r="C179" s="878"/>
      <c r="D179" s="878"/>
      <c r="E179" s="878"/>
      <c r="F179" s="878"/>
      <c r="G179" s="878"/>
      <c r="H179" s="878"/>
      <c r="I179" s="878"/>
      <c r="J179" s="878"/>
      <c r="K179" s="878"/>
      <c r="L179" s="878"/>
      <c r="M179" s="878"/>
      <c r="N179" s="878"/>
      <c r="O179" s="878"/>
      <c r="P179" s="31"/>
      <c r="Q179" s="31"/>
      <c r="R179" s="84" t="str">
        <f>$R$69</f>
        <v>Year or</v>
      </c>
      <c r="S179" s="31"/>
      <c r="T179" s="31"/>
      <c r="U179" s="31"/>
      <c r="V179" s="31"/>
      <c r="W179" s="80"/>
      <c r="X179" s="80"/>
      <c r="Y179" s="80"/>
      <c r="Z179" s="80"/>
      <c r="AA179" s="80"/>
      <c r="AB179" s="31"/>
      <c r="AC179" s="31"/>
      <c r="AD179" s="31"/>
      <c r="AE179" s="127"/>
      <c r="AF179" s="31"/>
      <c r="AG179" s="19"/>
    </row>
    <row r="180" spans="1:38" ht="12.75" customHeight="1" x14ac:dyDescent="0.25">
      <c r="A180" s="98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31"/>
      <c r="Q180" s="31"/>
      <c r="R180" s="80" t="str">
        <f>$R$70</f>
        <v>Portion of</v>
      </c>
      <c r="S180" s="31"/>
      <c r="T180" s="31"/>
      <c r="U180" s="31"/>
      <c r="V180" s="31"/>
      <c r="W180" s="80"/>
      <c r="X180" s="80"/>
      <c r="Y180" s="80"/>
      <c r="Z180" s="80"/>
      <c r="AA180" s="80"/>
      <c r="AB180" s="31"/>
      <c r="AC180" s="31"/>
      <c r="AD180" s="31"/>
      <c r="AE180" s="127"/>
      <c r="AF180" s="31"/>
      <c r="AG180" s="19"/>
    </row>
    <row r="181" spans="1:38" ht="12.75" customHeight="1" x14ac:dyDescent="0.25">
      <c r="A181" s="31"/>
      <c r="B181" s="87"/>
      <c r="C181" s="87" t="s">
        <v>6</v>
      </c>
      <c r="D181" s="87"/>
      <c r="E181" s="31"/>
      <c r="F181" s="31"/>
      <c r="G181" s="863" t="str">
        <f>IF(totalyrs&gt;5,IF(E5=0,"",E5),"")</f>
        <v/>
      </c>
      <c r="H181" s="863"/>
      <c r="I181" s="863"/>
      <c r="J181" s="863"/>
      <c r="K181" s="863"/>
      <c r="L181" s="863"/>
      <c r="M181" s="31"/>
      <c r="N181" s="31"/>
      <c r="O181" s="31"/>
      <c r="P181" s="31"/>
      <c r="Q181" s="31"/>
      <c r="R181" s="80" t="str">
        <f>$R$71</f>
        <v>a Year</v>
      </c>
      <c r="S181" s="31"/>
      <c r="T181" s="31"/>
      <c r="U181" s="31"/>
      <c r="V181" s="31"/>
      <c r="W181" s="80"/>
      <c r="X181" s="80"/>
      <c r="Y181" s="80"/>
      <c r="Z181" s="80"/>
      <c r="AA181" s="80"/>
      <c r="AB181" s="31"/>
      <c r="AC181" s="31"/>
      <c r="AD181" s="31"/>
      <c r="AE181" s="127"/>
      <c r="AF181" s="31"/>
      <c r="AG181" s="19"/>
    </row>
    <row r="182" spans="1:38" ht="12.75" customHeight="1" x14ac:dyDescent="0.25">
      <c r="A182" s="31"/>
      <c r="B182" s="87"/>
      <c r="C182" s="87" t="s">
        <v>8</v>
      </c>
      <c r="D182" s="87"/>
      <c r="E182" s="31"/>
      <c r="F182" s="31"/>
      <c r="G182" s="863" t="str">
        <f>IF(totalyrs&gt;5,IF(E6=0,"",E6),"")</f>
        <v/>
      </c>
      <c r="H182" s="863"/>
      <c r="I182" s="863"/>
      <c r="J182" s="863"/>
      <c r="K182" s="863"/>
      <c r="L182" s="863"/>
      <c r="M182" s="31"/>
      <c r="N182" s="31"/>
      <c r="O182" s="31"/>
      <c r="P182" s="31"/>
      <c r="Q182" s="31"/>
      <c r="R182" s="119">
        <f>IF(AND(totalyrs&gt;5,totalyrs&lt;6),totalyrs-5,1)</f>
        <v>1</v>
      </c>
      <c r="S182" s="132" t="s">
        <v>147</v>
      </c>
      <c r="T182" s="31"/>
      <c r="U182" s="31"/>
      <c r="V182" s="31"/>
      <c r="W182" s="80"/>
      <c r="X182" s="80"/>
      <c r="Y182" s="80"/>
      <c r="Z182" s="80"/>
      <c r="AA182" s="80"/>
      <c r="AB182" s="31"/>
      <c r="AC182" s="31"/>
      <c r="AD182" s="31"/>
      <c r="AE182" s="127"/>
      <c r="AF182" s="31"/>
      <c r="AG182" s="19"/>
    </row>
    <row r="183" spans="1:38" ht="12.75" customHeight="1" x14ac:dyDescent="0.25">
      <c r="A183" s="31"/>
      <c r="B183" s="87"/>
      <c r="C183" s="87" t="s">
        <v>122</v>
      </c>
      <c r="D183" s="87"/>
      <c r="E183" s="31"/>
      <c r="F183" s="31"/>
      <c r="G183" s="863" t="str">
        <f>IF(totalyrs&gt;5,IF(E7=0,"",E7),"")</f>
        <v/>
      </c>
      <c r="H183" s="863"/>
      <c r="I183" s="863"/>
      <c r="J183" s="863"/>
      <c r="K183" s="863"/>
      <c r="L183" s="863"/>
      <c r="M183" s="31"/>
      <c r="N183" s="31"/>
      <c r="O183" s="31"/>
      <c r="P183" s="31"/>
      <c r="Q183" s="31"/>
      <c r="R183" s="119">
        <f>IF(AND(totalyrs&gt;6,totalyrs&lt;7),totalyrs-6,1)</f>
        <v>1</v>
      </c>
      <c r="S183" s="120" t="s">
        <v>148</v>
      </c>
      <c r="T183" s="31"/>
      <c r="U183" s="31"/>
      <c r="V183" s="31"/>
      <c r="W183" s="80"/>
      <c r="X183" s="80"/>
      <c r="Y183" s="80"/>
      <c r="Z183" s="80"/>
      <c r="AA183" s="80"/>
      <c r="AB183" s="31"/>
      <c r="AC183" s="31"/>
      <c r="AD183" s="31"/>
      <c r="AE183" s="127"/>
      <c r="AF183" s="31"/>
      <c r="AG183" s="19"/>
    </row>
    <row r="184" spans="1:38" ht="12.75" customHeight="1" x14ac:dyDescent="0.25">
      <c r="A184" s="31"/>
      <c r="B184" s="87"/>
      <c r="C184" s="87" t="s">
        <v>10</v>
      </c>
      <c r="D184" s="87"/>
      <c r="E184" s="31"/>
      <c r="F184" s="31"/>
      <c r="G184" s="863" t="str">
        <f>IF(totalyrs&gt;5,IF(E8=0,"",E8),"")</f>
        <v/>
      </c>
      <c r="H184" s="863"/>
      <c r="I184" s="863"/>
      <c r="J184" s="863"/>
      <c r="K184" s="863"/>
      <c r="L184" s="863"/>
      <c r="M184" s="31"/>
      <c r="N184" s="31"/>
      <c r="O184" s="31"/>
      <c r="P184" s="31"/>
      <c r="Q184" s="31"/>
      <c r="T184" s="31"/>
      <c r="U184" s="31"/>
      <c r="V184" s="31"/>
      <c r="W184" s="80"/>
      <c r="X184" s="80"/>
      <c r="Y184" s="80"/>
      <c r="Z184" s="80"/>
      <c r="AA184" s="80"/>
      <c r="AB184" s="31"/>
      <c r="AC184" s="31"/>
      <c r="AD184" s="31"/>
      <c r="AE184" s="31"/>
      <c r="AF184" s="31"/>
      <c r="AG184" s="19"/>
    </row>
    <row r="185" spans="1:38" ht="12.75" customHeight="1" x14ac:dyDescent="0.25">
      <c r="A185" s="31"/>
      <c r="B185" s="87"/>
      <c r="C185" s="87"/>
      <c r="D185" s="87"/>
      <c r="E185" s="31"/>
      <c r="F185" s="31"/>
      <c r="G185" s="128"/>
      <c r="H185" s="128"/>
      <c r="I185" s="124"/>
      <c r="J185" s="30"/>
      <c r="K185" s="124"/>
      <c r="L185" s="124"/>
      <c r="M185" s="124"/>
      <c r="N185" s="31"/>
      <c r="O185" s="31"/>
      <c r="P185" s="80"/>
      <c r="Q185" s="80"/>
      <c r="R185" s="31"/>
      <c r="S185" s="410" t="s">
        <v>144</v>
      </c>
      <c r="T185" s="410" t="s">
        <v>145</v>
      </c>
      <c r="U185" s="430"/>
      <c r="V185" s="31"/>
      <c r="W185" s="80"/>
      <c r="X185" s="80"/>
      <c r="Y185" s="80"/>
      <c r="Z185" s="80"/>
      <c r="AA185" s="80"/>
      <c r="AB185" s="31"/>
      <c r="AC185" s="31"/>
      <c r="AD185" s="31"/>
      <c r="AE185" s="31"/>
      <c r="AF185" s="31"/>
      <c r="AG185" s="19"/>
    </row>
    <row r="186" spans="1:38" ht="12.75" customHeight="1" x14ac:dyDescent="0.3">
      <c r="A186" s="100"/>
      <c r="B186" s="305" t="s">
        <v>209</v>
      </c>
      <c r="C186" s="830" t="s">
        <v>144</v>
      </c>
      <c r="D186" s="831"/>
      <c r="E186" s="832"/>
      <c r="F186" s="832"/>
      <c r="G186" s="832"/>
      <c r="H186" s="104" t="s">
        <v>109</v>
      </c>
      <c r="I186" s="310" t="s">
        <v>28</v>
      </c>
      <c r="J186" s="284"/>
      <c r="K186" s="309" t="s">
        <v>209</v>
      </c>
      <c r="L186" s="102" t="s">
        <v>145</v>
      </c>
      <c r="M186" s="103"/>
      <c r="N186" s="103"/>
      <c r="O186" s="103"/>
      <c r="P186" s="285" t="s">
        <v>109</v>
      </c>
      <c r="Q186" s="315" t="s">
        <v>28</v>
      </c>
      <c r="S186" s="411" t="s">
        <v>276</v>
      </c>
      <c r="T186" s="411" t="s">
        <v>276</v>
      </c>
      <c r="U186" s="430"/>
      <c r="V186" s="99"/>
      <c r="W186" s="99"/>
      <c r="X186" s="99"/>
      <c r="Y186" s="99"/>
      <c r="Z186" s="99"/>
      <c r="AA186" s="99"/>
      <c r="AB186" s="99"/>
      <c r="AC186" s="99"/>
      <c r="AD186" s="99"/>
      <c r="AE186" s="31"/>
      <c r="AF186" s="31"/>
      <c r="AG186" s="19"/>
    </row>
    <row r="187" spans="1:38" ht="12.75" customHeight="1" x14ac:dyDescent="0.3">
      <c r="A187" s="300" t="s">
        <v>226</v>
      </c>
      <c r="B187" s="301" t="s">
        <v>131</v>
      </c>
      <c r="C187" s="821" t="s">
        <v>29</v>
      </c>
      <c r="D187" s="822"/>
      <c r="E187" s="299"/>
      <c r="F187" s="299" t="s">
        <v>228</v>
      </c>
      <c r="G187" s="295"/>
      <c r="H187" s="107" t="s">
        <v>110</v>
      </c>
      <c r="I187" s="301" t="s">
        <v>132</v>
      </c>
      <c r="J187" s="313" t="s">
        <v>226</v>
      </c>
      <c r="K187" s="295" t="s">
        <v>131</v>
      </c>
      <c r="L187" s="301" t="str">
        <f>C187</f>
        <v>Salary</v>
      </c>
      <c r="M187" s="299"/>
      <c r="N187" s="295" t="s">
        <v>228</v>
      </c>
      <c r="O187" s="295"/>
      <c r="P187" s="107" t="s">
        <v>110</v>
      </c>
      <c r="Q187" s="299" t="s">
        <v>132</v>
      </c>
      <c r="S187" s="411" t="s">
        <v>316</v>
      </c>
      <c r="T187" s="411" t="s">
        <v>316</v>
      </c>
      <c r="U187" s="430"/>
      <c r="V187" s="84"/>
      <c r="W187" s="84"/>
      <c r="X187" s="84"/>
      <c r="Y187" s="84"/>
      <c r="Z187" s="84"/>
      <c r="AA187" s="84"/>
      <c r="AB187" s="84"/>
      <c r="AC187" s="84"/>
      <c r="AD187" s="84"/>
      <c r="AE187" s="31"/>
      <c r="AF187" s="31"/>
      <c r="AG187" s="19"/>
    </row>
    <row r="188" spans="1:38" ht="12.75" customHeight="1" x14ac:dyDescent="0.3">
      <c r="A188" s="302" t="s">
        <v>225</v>
      </c>
      <c r="B188" s="304" t="s">
        <v>224</v>
      </c>
      <c r="C188" s="847" t="s">
        <v>34</v>
      </c>
      <c r="D188" s="848"/>
      <c r="E188" s="296" t="s">
        <v>30</v>
      </c>
      <c r="F188" s="296" t="s">
        <v>229</v>
      </c>
      <c r="G188" s="296" t="s">
        <v>24</v>
      </c>
      <c r="H188" s="286" t="s">
        <v>33</v>
      </c>
      <c r="I188" s="308" t="s">
        <v>144</v>
      </c>
      <c r="J188" s="314" t="s">
        <v>225</v>
      </c>
      <c r="K188" s="295" t="s">
        <v>224</v>
      </c>
      <c r="L188" s="303" t="str">
        <f>C188</f>
        <v>Requested</v>
      </c>
      <c r="M188" s="296" t="str">
        <f>E188</f>
        <v>Benefits</v>
      </c>
      <c r="N188" s="296" t="s">
        <v>229</v>
      </c>
      <c r="O188" s="296" t="s">
        <v>24</v>
      </c>
      <c r="P188" s="286" t="s">
        <v>33</v>
      </c>
      <c r="Q188" s="312" t="s">
        <v>145</v>
      </c>
      <c r="S188" s="412" t="s">
        <v>301</v>
      </c>
      <c r="T188" s="412" t="s">
        <v>301</v>
      </c>
      <c r="U188" s="430"/>
      <c r="V188" s="80"/>
      <c r="W188" s="80"/>
      <c r="X188" s="80"/>
      <c r="Y188" s="80"/>
      <c r="Z188" s="80"/>
      <c r="AA188" s="80"/>
      <c r="AB188" s="80"/>
      <c r="AC188" s="80"/>
      <c r="AD188" s="80"/>
      <c r="AE188" s="31"/>
      <c r="AF188" s="31"/>
      <c r="AG188" s="19"/>
    </row>
    <row r="189" spans="1:38" ht="12.75" customHeight="1" x14ac:dyDescent="0.25">
      <c r="A189" s="114" t="str">
        <f t="shared" ref="A189:A228" si="62">IF(totalyrs&gt;5,IF(A24=0,"",A24),"")</f>
        <v/>
      </c>
      <c r="B189" s="265" t="str">
        <f t="shared" ref="B189:B228" si="63">IFERROR(IF(ROUND(IF(totalyrs&gt;5,((J24*(1+INCREASE)^5)),0),0)=0,"",ROUND(IF(totalyrs&gt;5,((J24*(1+INCREASE)^5)),0),0)),"")</f>
        <v/>
      </c>
      <c r="C189" s="864" t="str">
        <f t="shared" ref="C189:C228" si="64">IFERROR(IF(ROUND(IF(totalyrs&gt;5,IF($F$18="X",(IF(G24*(1+INCREASE)^5&gt;$L$18,(IF(AND(totalyrs&lt;6,MOD(NUMMONTHS,12)&gt;0),((MAXSAL*I189)/12)*MOD(NUMMONTHS,12),MAXSAL*I189)),(G24*I189*yr6percent*(1+INCREASE)^5))),(G24*I189*yr6percent*(1+INCREASE)^5)),0),0)=0,"",ROUND(IF(totalyrs&gt;5,IF($F$18="X",(IF(G24*(1+INCREASE)^5&gt;$L$18,(IF(AND(totalyrs&lt;6,MOD(NUMMONTHS,12)&gt;0),((MAXSAL*I189)/12)*MOD(NUMMONTHS,12),MAXSAL*I189)),(G24*I189*yr6percent*(1+INCREASE)^5))),(G24*I189*yr6percent*(1+INCREASE)^5)),0),0)),"")</f>
        <v/>
      </c>
      <c r="D189" s="865"/>
      <c r="E189" s="115" t="str">
        <f t="shared" ref="E189:E228" si="65">IFERROR(IF(IF(H189=0,0,ROUND(IF(P24="G",(C189*L24)+(R24*1.25),IF(Q24&gt;0,C189*L24,C189*(Year1Weight*VLOOKUP(P24,FringeTable,7,FALSE)+Year2Weight*VLOOKUP(P24,FringeTable,8,FALSE)+Year3Weight*VLOOKUP(P24,FringeTable,9,FALSE)))),0))=0,"",IF(H189=0,0,ROUND(IF(P24="G",(C189*L24)+(R24*1.25),IF(Q24&gt;0,C189*L24,C189*(Year1Weight*VLOOKUP(P24,FringeTable,7,FALSE)+Year2Weight*VLOOKUP(P24,FringeTable,8,FALSE)+Year3Weight*VLOOKUP(P24,FringeTable,9,FALSE)))),0))),"")</f>
        <v/>
      </c>
      <c r="F189" s="267" t="str">
        <f t="shared" ref="F189:F228" si="66">IFERROR(IF(SUM(H189*D24)*C24=0,"",SUM(H189*D24)*C24),"")</f>
        <v/>
      </c>
      <c r="G189" s="116" t="str">
        <f t="shared" ref="G189:G228" si="67">IFERROR(C189+E189,"")</f>
        <v/>
      </c>
      <c r="H189" s="183" t="str">
        <f t="shared" ref="H189:H228" si="68">IF(IF(totalyrs&gt;5,(P133),0)=0,"",IF(totalyrs&gt;5,(P133),0))</f>
        <v/>
      </c>
      <c r="I189" s="318" t="str">
        <f t="shared" ref="I189:I228" si="69">IFERROR(H189*D24/12*C24,"")</f>
        <v/>
      </c>
      <c r="J189" s="290" t="str">
        <f t="shared" ref="J189:J228" si="70">IF(totalyrs&gt;6,IF(A24=0,"",A24),"")</f>
        <v/>
      </c>
      <c r="K189" s="265" t="str">
        <f t="shared" ref="K189:K228" si="71">IFERROR(IF(ROUND(IF(totalyrs&gt;6,((J24*(1+INCREASE)^6)),0),0)=0,"",ROUND(IF(totalyrs&gt;6,((J24*(1+INCREASE)^6)),0),0)),"")</f>
        <v/>
      </c>
      <c r="L189" s="131" t="str">
        <f t="shared" ref="L189:L228" si="72">IFERROR(IF(ROUND(IF(totalyrs&gt;6,IF($F$18="X",(IF(G24*(1+INCREASE)^6&gt;$L$18,(IF(AND(totalyrs&lt;7,MOD(NUMMONTHS,12)&gt;0),((MAXSAL*Q189)/12)*MOD(NUMMONTHS,12),MAXSAL*Q189)),(G24*Q189*yr7percent*(1+INCREASE)^6))),(G24*Q189*yr7percent*(1+INCREASE)^6)),0),0)=0,"",ROUND(IF(totalyrs&gt;6,IF($F$18="X",(IF(G24*(1+INCREASE)^6&gt;$L$18,(IF(AND(totalyrs&lt;7,MOD(NUMMONTHS,12)&gt;0),((MAXSAL*Q189)/12)*MOD(NUMMONTHS,12),MAXSAL*Q189)),(G24*Q189*yr7percent*(1+INCREASE)^6))),(G24*Q189*yr7percent*(1+INCREASE)^6)),0),0)),"")</f>
        <v/>
      </c>
      <c r="M189" s="115" t="str">
        <f t="shared" ref="M189:M228" si="73">IFERROR(IF(IF(P189=0,0,ROUND(IF(P24="G",(L189*L24)+(R24*1.3),IF(Q24&gt;0,L189*L24,L189*(Year1Weight*VLOOKUP(P24,FringeTable,8,FALSE)+Year2Weight*VLOOKUP(P24,FringeTable,9,FALSE)+Year3Weight*VLOOKUP(P24,FringeTable,10,FALSE)))),0))=0,"",IF(P189=0,0,ROUND(IF(P24="G",(L189*L24)+(R24*1.3),IF(Q24&gt;0,L189*L24,L189*(Year1Weight*VLOOKUP(P24,FringeTable,8,FALSE)+Year2Weight*VLOOKUP(P24,FringeTable,9,FALSE)+Year3Weight*VLOOKUP(P24,FringeTable,10,FALSE)))),0))),"")</f>
        <v/>
      </c>
      <c r="N189" s="267" t="str">
        <f t="shared" ref="N189:N228" si="74">IFERROR(IF(SUM(P189*D24)*C24=0,"",SUM(P189*D24)*C24),"")</f>
        <v/>
      </c>
      <c r="O189" s="118" t="str">
        <f t="shared" ref="O189:O228" si="75">IFERROR(L189+M189,"")</f>
        <v/>
      </c>
      <c r="P189" s="185" t="str">
        <f t="shared" ref="P189:P228" si="76">IF(IF(totalyrs&gt;6,(H189),0)=0,"",IF(totalyrs&gt;6,(H189),0))</f>
        <v/>
      </c>
      <c r="Q189" s="317" t="str">
        <f t="shared" ref="Q189:Q228" si="77">IFERROR(P189*D24/12*C24,"")</f>
        <v/>
      </c>
      <c r="S189" s="409">
        <f>IFERROR(IF((E24*$L$17*((1+$L$16)^5))&gt;$L$18,(((E24*$L$17*((1+$L$16)^5))-$L$18)*H189*(1+L24)),0),"")</f>
        <v>0</v>
      </c>
      <c r="T189" s="409">
        <f>IFERROR(IF((E24*$L$17*((1+$L$16)^6))&gt;$L$18,(((E24*$L$17*((1+$L$16)^6))-$L$18)*P189*(1+L24)),0),"")</f>
        <v>0</v>
      </c>
      <c r="U189" s="428"/>
      <c r="V189" s="80"/>
      <c r="W189" s="80"/>
      <c r="X189" s="80"/>
      <c r="Y189" s="80"/>
      <c r="Z189" s="80"/>
      <c r="AA189" s="80"/>
      <c r="AB189" s="80"/>
      <c r="AC189" s="80"/>
      <c r="AD189" s="80"/>
      <c r="AE189" s="31"/>
      <c r="AK189" s="31"/>
      <c r="AL189" s="31"/>
    </row>
    <row r="190" spans="1:38" ht="12.75" customHeight="1" x14ac:dyDescent="0.25">
      <c r="A190" s="114" t="str">
        <f t="shared" si="62"/>
        <v/>
      </c>
      <c r="B190" s="265" t="str">
        <f t="shared" si="63"/>
        <v/>
      </c>
      <c r="C190" s="864" t="str">
        <f t="shared" si="64"/>
        <v/>
      </c>
      <c r="D190" s="865"/>
      <c r="E190" s="115" t="str">
        <f t="shared" si="65"/>
        <v/>
      </c>
      <c r="F190" s="267" t="str">
        <f t="shared" si="66"/>
        <v/>
      </c>
      <c r="G190" s="116" t="str">
        <f t="shared" si="67"/>
        <v/>
      </c>
      <c r="H190" s="183" t="str">
        <f t="shared" si="68"/>
        <v/>
      </c>
      <c r="I190" s="318" t="str">
        <f t="shared" si="69"/>
        <v/>
      </c>
      <c r="J190" s="290" t="str">
        <f t="shared" si="70"/>
        <v/>
      </c>
      <c r="K190" s="265" t="str">
        <f t="shared" si="71"/>
        <v/>
      </c>
      <c r="L190" s="131" t="str">
        <f t="shared" si="72"/>
        <v/>
      </c>
      <c r="M190" s="115" t="str">
        <f t="shared" si="73"/>
        <v/>
      </c>
      <c r="N190" s="267" t="str">
        <f t="shared" si="74"/>
        <v/>
      </c>
      <c r="O190" s="118" t="str">
        <f t="shared" si="75"/>
        <v/>
      </c>
      <c r="P190" s="185" t="str">
        <f t="shared" si="76"/>
        <v/>
      </c>
      <c r="Q190" s="317" t="str">
        <f t="shared" si="77"/>
        <v/>
      </c>
      <c r="S190" s="409">
        <f t="shared" ref="S190:S228" si="78">IFERROR(IF((E25*$L$17*((1+$L$16)^5))&gt;$L$18,(((E25*$L$17*((1+$L$16)^5))-$L$18)*H190*(1+L25)),0),"")</f>
        <v>0</v>
      </c>
      <c r="T190" s="409">
        <f t="shared" ref="T190:T228" si="79">IFERROR(IF((E25*$L$17*((1+$L$16)^6))&gt;$L$18,(((E25*$L$17*((1+$L$16)^6))-$L$18)*P190*(1+L25)),0),"")</f>
        <v>0</v>
      </c>
      <c r="U190" s="428"/>
      <c r="V190" s="132"/>
      <c r="W190" s="530"/>
      <c r="X190" s="530"/>
      <c r="Y190" s="530"/>
      <c r="Z190" s="530"/>
      <c r="AA190" s="530"/>
      <c r="AB190" s="132"/>
      <c r="AC190" s="132"/>
      <c r="AD190" s="132"/>
      <c r="AK190" s="31"/>
      <c r="AL190" s="31"/>
    </row>
    <row r="191" spans="1:38" ht="12.75" customHeight="1" x14ac:dyDescent="0.25">
      <c r="A191" s="114" t="str">
        <f t="shared" si="62"/>
        <v/>
      </c>
      <c r="B191" s="265" t="str">
        <f t="shared" si="63"/>
        <v/>
      </c>
      <c r="C191" s="864" t="str">
        <f t="shared" si="64"/>
        <v/>
      </c>
      <c r="D191" s="865"/>
      <c r="E191" s="115" t="str">
        <f t="shared" si="65"/>
        <v/>
      </c>
      <c r="F191" s="267" t="str">
        <f t="shared" si="66"/>
        <v/>
      </c>
      <c r="G191" s="116" t="str">
        <f t="shared" si="67"/>
        <v/>
      </c>
      <c r="H191" s="183" t="str">
        <f t="shared" si="68"/>
        <v/>
      </c>
      <c r="I191" s="318" t="str">
        <f t="shared" si="69"/>
        <v/>
      </c>
      <c r="J191" s="290" t="str">
        <f t="shared" si="70"/>
        <v/>
      </c>
      <c r="K191" s="265" t="str">
        <f t="shared" si="71"/>
        <v/>
      </c>
      <c r="L191" s="131" t="str">
        <f t="shared" si="72"/>
        <v/>
      </c>
      <c r="M191" s="115" t="str">
        <f t="shared" si="73"/>
        <v/>
      </c>
      <c r="N191" s="267" t="str">
        <f t="shared" si="74"/>
        <v/>
      </c>
      <c r="O191" s="118" t="str">
        <f t="shared" si="75"/>
        <v/>
      </c>
      <c r="P191" s="185" t="str">
        <f t="shared" si="76"/>
        <v/>
      </c>
      <c r="Q191" s="317" t="str">
        <f t="shared" si="77"/>
        <v/>
      </c>
      <c r="S191" s="409">
        <f t="shared" si="78"/>
        <v>0</v>
      </c>
      <c r="T191" s="409">
        <f t="shared" si="79"/>
        <v>0</v>
      </c>
      <c r="U191" s="428"/>
      <c r="V191" s="120"/>
      <c r="W191" s="529"/>
      <c r="X191" s="529"/>
      <c r="Y191" s="529"/>
      <c r="Z191" s="529"/>
      <c r="AA191" s="529"/>
      <c r="AB191" s="120"/>
      <c r="AC191" s="120"/>
      <c r="AD191" s="120"/>
      <c r="AK191" s="31"/>
      <c r="AL191" s="31"/>
    </row>
    <row r="192" spans="1:38" ht="12.75" customHeight="1" x14ac:dyDescent="0.25">
      <c r="A192" s="114" t="str">
        <f t="shared" si="62"/>
        <v/>
      </c>
      <c r="B192" s="265" t="str">
        <f t="shared" si="63"/>
        <v/>
      </c>
      <c r="C192" s="864" t="str">
        <f t="shared" si="64"/>
        <v/>
      </c>
      <c r="D192" s="865"/>
      <c r="E192" s="115" t="str">
        <f t="shared" si="65"/>
        <v/>
      </c>
      <c r="F192" s="267" t="str">
        <f t="shared" si="66"/>
        <v/>
      </c>
      <c r="G192" s="116" t="str">
        <f t="shared" si="67"/>
        <v/>
      </c>
      <c r="H192" s="183" t="str">
        <f t="shared" si="68"/>
        <v/>
      </c>
      <c r="I192" s="318" t="str">
        <f t="shared" si="69"/>
        <v/>
      </c>
      <c r="J192" s="290" t="str">
        <f t="shared" si="70"/>
        <v/>
      </c>
      <c r="K192" s="265" t="str">
        <f t="shared" si="71"/>
        <v/>
      </c>
      <c r="L192" s="131" t="str">
        <f t="shared" si="72"/>
        <v/>
      </c>
      <c r="M192" s="115" t="str">
        <f t="shared" si="73"/>
        <v/>
      </c>
      <c r="N192" s="267" t="str">
        <f t="shared" si="74"/>
        <v/>
      </c>
      <c r="O192" s="118" t="str">
        <f t="shared" si="75"/>
        <v/>
      </c>
      <c r="P192" s="185" t="str">
        <f t="shared" si="76"/>
        <v/>
      </c>
      <c r="Q192" s="317" t="str">
        <f t="shared" si="77"/>
        <v/>
      </c>
      <c r="R192" s="80"/>
      <c r="S192" s="409">
        <f t="shared" si="78"/>
        <v>0</v>
      </c>
      <c r="T192" s="409">
        <f t="shared" si="79"/>
        <v>0</v>
      </c>
      <c r="U192" s="428"/>
      <c r="V192" s="80"/>
      <c r="W192" s="80"/>
      <c r="X192" s="80"/>
      <c r="Y192" s="80"/>
      <c r="Z192" s="80"/>
      <c r="AA192" s="80"/>
      <c r="AB192" s="80"/>
      <c r="AC192" s="80"/>
      <c r="AD192" s="80"/>
      <c r="AE192" s="31"/>
      <c r="AK192" s="31"/>
      <c r="AL192" s="31"/>
    </row>
    <row r="193" spans="1:38" ht="12.75" customHeight="1" x14ac:dyDescent="0.25">
      <c r="A193" s="114" t="str">
        <f t="shared" ref="A193:A199" si="80">IF(totalyrs&gt;5,IF(A28=0,"",A28),"")</f>
        <v/>
      </c>
      <c r="B193" s="265" t="str">
        <f t="shared" si="63"/>
        <v/>
      </c>
      <c r="C193" s="864" t="str">
        <f t="shared" si="64"/>
        <v/>
      </c>
      <c r="D193" s="865"/>
      <c r="E193" s="115" t="str">
        <f t="shared" si="65"/>
        <v/>
      </c>
      <c r="F193" s="267" t="str">
        <f t="shared" si="66"/>
        <v/>
      </c>
      <c r="G193" s="116" t="str">
        <f t="shared" si="67"/>
        <v/>
      </c>
      <c r="H193" s="183" t="str">
        <f t="shared" si="68"/>
        <v/>
      </c>
      <c r="I193" s="318" t="str">
        <f t="shared" si="69"/>
        <v/>
      </c>
      <c r="J193" s="290" t="str">
        <f t="shared" ref="J193:J199" si="81">IF(totalyrs&gt;6,IF(A28=0,"",A28),"")</f>
        <v/>
      </c>
      <c r="K193" s="265" t="str">
        <f t="shared" si="71"/>
        <v/>
      </c>
      <c r="L193" s="131" t="str">
        <f t="shared" si="72"/>
        <v/>
      </c>
      <c r="M193" s="115" t="str">
        <f t="shared" si="73"/>
        <v/>
      </c>
      <c r="N193" s="267" t="str">
        <f t="shared" si="74"/>
        <v/>
      </c>
      <c r="O193" s="118" t="str">
        <f t="shared" si="75"/>
        <v/>
      </c>
      <c r="P193" s="185" t="str">
        <f t="shared" si="76"/>
        <v/>
      </c>
      <c r="Q193" s="317" t="str">
        <f t="shared" si="77"/>
        <v/>
      </c>
      <c r="R193" s="80"/>
      <c r="S193" s="409">
        <f t="shared" si="78"/>
        <v>0</v>
      </c>
      <c r="T193" s="409">
        <f t="shared" si="79"/>
        <v>0</v>
      </c>
      <c r="U193" s="428"/>
      <c r="V193" s="80"/>
      <c r="W193" s="80"/>
      <c r="X193" s="80"/>
      <c r="Y193" s="80"/>
      <c r="Z193" s="80"/>
      <c r="AA193" s="80"/>
      <c r="AB193" s="80"/>
      <c r="AC193" s="80"/>
      <c r="AD193" s="80"/>
      <c r="AE193" s="31"/>
      <c r="AK193" s="31"/>
      <c r="AL193" s="31"/>
    </row>
    <row r="194" spans="1:38" ht="12.75" customHeight="1" x14ac:dyDescent="0.25">
      <c r="A194" s="114" t="str">
        <f t="shared" si="80"/>
        <v/>
      </c>
      <c r="B194" s="265" t="str">
        <f t="shared" si="63"/>
        <v/>
      </c>
      <c r="C194" s="864" t="str">
        <f t="shared" si="64"/>
        <v/>
      </c>
      <c r="D194" s="865"/>
      <c r="E194" s="115" t="str">
        <f t="shared" si="65"/>
        <v/>
      </c>
      <c r="F194" s="267" t="str">
        <f t="shared" si="66"/>
        <v/>
      </c>
      <c r="G194" s="116" t="str">
        <f t="shared" si="67"/>
        <v/>
      </c>
      <c r="H194" s="183" t="str">
        <f t="shared" si="68"/>
        <v/>
      </c>
      <c r="I194" s="318" t="str">
        <f t="shared" si="69"/>
        <v/>
      </c>
      <c r="J194" s="290" t="str">
        <f t="shared" si="81"/>
        <v/>
      </c>
      <c r="K194" s="265" t="str">
        <f t="shared" si="71"/>
        <v/>
      </c>
      <c r="L194" s="131" t="str">
        <f t="shared" si="72"/>
        <v/>
      </c>
      <c r="M194" s="115" t="str">
        <f t="shared" si="73"/>
        <v/>
      </c>
      <c r="N194" s="267" t="str">
        <f t="shared" si="74"/>
        <v/>
      </c>
      <c r="O194" s="118" t="str">
        <f t="shared" si="75"/>
        <v/>
      </c>
      <c r="P194" s="185" t="str">
        <f t="shared" si="76"/>
        <v/>
      </c>
      <c r="Q194" s="317" t="str">
        <f t="shared" si="77"/>
        <v/>
      </c>
      <c r="R194" s="80"/>
      <c r="S194" s="409">
        <f t="shared" si="78"/>
        <v>0</v>
      </c>
      <c r="T194" s="409">
        <f t="shared" si="79"/>
        <v>0</v>
      </c>
      <c r="U194" s="428"/>
      <c r="V194" s="80"/>
      <c r="W194" s="80"/>
      <c r="X194" s="80"/>
      <c r="Y194" s="80"/>
      <c r="Z194" s="80"/>
      <c r="AA194" s="80"/>
      <c r="AB194" s="80"/>
      <c r="AC194" s="80"/>
      <c r="AD194" s="80"/>
      <c r="AE194" s="31"/>
      <c r="AK194" s="31"/>
      <c r="AL194" s="31"/>
    </row>
    <row r="195" spans="1:38" ht="12.75" customHeight="1" x14ac:dyDescent="0.25">
      <c r="A195" s="114" t="str">
        <f t="shared" si="80"/>
        <v/>
      </c>
      <c r="B195" s="265" t="str">
        <f t="shared" si="63"/>
        <v/>
      </c>
      <c r="C195" s="864" t="str">
        <f t="shared" si="64"/>
        <v/>
      </c>
      <c r="D195" s="865"/>
      <c r="E195" s="115" t="str">
        <f t="shared" si="65"/>
        <v/>
      </c>
      <c r="F195" s="267" t="str">
        <f t="shared" si="66"/>
        <v/>
      </c>
      <c r="G195" s="116" t="str">
        <f t="shared" si="67"/>
        <v/>
      </c>
      <c r="H195" s="183" t="str">
        <f t="shared" si="68"/>
        <v/>
      </c>
      <c r="I195" s="318" t="str">
        <f t="shared" si="69"/>
        <v/>
      </c>
      <c r="J195" s="290" t="str">
        <f t="shared" si="81"/>
        <v/>
      </c>
      <c r="K195" s="265" t="str">
        <f t="shared" si="71"/>
        <v/>
      </c>
      <c r="L195" s="131" t="str">
        <f t="shared" si="72"/>
        <v/>
      </c>
      <c r="M195" s="115" t="str">
        <f t="shared" si="73"/>
        <v/>
      </c>
      <c r="N195" s="267" t="str">
        <f t="shared" si="74"/>
        <v/>
      </c>
      <c r="O195" s="118" t="str">
        <f t="shared" si="75"/>
        <v/>
      </c>
      <c r="P195" s="185" t="str">
        <f t="shared" si="76"/>
        <v/>
      </c>
      <c r="Q195" s="317" t="str">
        <f t="shared" si="77"/>
        <v/>
      </c>
      <c r="R195" s="80"/>
      <c r="S195" s="409">
        <f t="shared" si="78"/>
        <v>0</v>
      </c>
      <c r="T195" s="409">
        <f t="shared" si="79"/>
        <v>0</v>
      </c>
      <c r="U195" s="428"/>
      <c r="V195" s="80"/>
      <c r="W195" s="80"/>
      <c r="X195" s="80"/>
      <c r="Y195" s="80"/>
      <c r="Z195" s="80"/>
      <c r="AA195" s="80"/>
      <c r="AB195" s="80"/>
      <c r="AC195" s="80"/>
      <c r="AD195" s="80"/>
      <c r="AE195" s="31"/>
      <c r="AK195" s="31"/>
      <c r="AL195" s="31"/>
    </row>
    <row r="196" spans="1:38" ht="12.75" customHeight="1" x14ac:dyDescent="0.25">
      <c r="A196" s="114" t="str">
        <f t="shared" si="80"/>
        <v/>
      </c>
      <c r="B196" s="265" t="str">
        <f t="shared" si="63"/>
        <v/>
      </c>
      <c r="C196" s="864" t="str">
        <f t="shared" si="64"/>
        <v/>
      </c>
      <c r="D196" s="865"/>
      <c r="E196" s="115" t="str">
        <f t="shared" si="65"/>
        <v/>
      </c>
      <c r="F196" s="267" t="str">
        <f t="shared" si="66"/>
        <v/>
      </c>
      <c r="G196" s="116" t="str">
        <f t="shared" si="67"/>
        <v/>
      </c>
      <c r="H196" s="183" t="str">
        <f t="shared" si="68"/>
        <v/>
      </c>
      <c r="I196" s="318" t="str">
        <f t="shared" si="69"/>
        <v/>
      </c>
      <c r="J196" s="290" t="str">
        <f t="shared" si="81"/>
        <v/>
      </c>
      <c r="K196" s="265" t="str">
        <f t="shared" si="71"/>
        <v/>
      </c>
      <c r="L196" s="131" t="str">
        <f t="shared" si="72"/>
        <v/>
      </c>
      <c r="M196" s="115" t="str">
        <f t="shared" si="73"/>
        <v/>
      </c>
      <c r="N196" s="267" t="str">
        <f t="shared" si="74"/>
        <v/>
      </c>
      <c r="O196" s="118" t="str">
        <f t="shared" si="75"/>
        <v/>
      </c>
      <c r="P196" s="185" t="str">
        <f t="shared" si="76"/>
        <v/>
      </c>
      <c r="Q196" s="317" t="str">
        <f t="shared" si="77"/>
        <v/>
      </c>
      <c r="R196" s="80"/>
      <c r="S196" s="409">
        <f t="shared" si="78"/>
        <v>0</v>
      </c>
      <c r="T196" s="409">
        <f t="shared" si="79"/>
        <v>0</v>
      </c>
      <c r="U196" s="428"/>
      <c r="V196" s="80"/>
      <c r="W196" s="80"/>
      <c r="X196" s="80"/>
      <c r="Y196" s="80"/>
      <c r="Z196" s="80"/>
      <c r="AA196" s="80"/>
      <c r="AB196" s="80"/>
      <c r="AC196" s="80"/>
      <c r="AD196" s="80"/>
      <c r="AE196" s="31"/>
      <c r="AK196" s="31"/>
      <c r="AL196" s="31"/>
    </row>
    <row r="197" spans="1:38" x14ac:dyDescent="0.25">
      <c r="A197" s="114" t="str">
        <f t="shared" si="80"/>
        <v/>
      </c>
      <c r="B197" s="265" t="str">
        <f t="shared" si="63"/>
        <v/>
      </c>
      <c r="C197" s="864" t="str">
        <f t="shared" si="64"/>
        <v/>
      </c>
      <c r="D197" s="865"/>
      <c r="E197" s="115" t="str">
        <f t="shared" si="65"/>
        <v/>
      </c>
      <c r="F197" s="267" t="str">
        <f t="shared" si="66"/>
        <v/>
      </c>
      <c r="G197" s="116" t="str">
        <f t="shared" si="67"/>
        <v/>
      </c>
      <c r="H197" s="183" t="str">
        <f t="shared" si="68"/>
        <v/>
      </c>
      <c r="I197" s="318" t="str">
        <f t="shared" si="69"/>
        <v/>
      </c>
      <c r="J197" s="290" t="str">
        <f t="shared" si="81"/>
        <v/>
      </c>
      <c r="K197" s="265" t="str">
        <f t="shared" si="71"/>
        <v/>
      </c>
      <c r="L197" s="131" t="str">
        <f t="shared" si="72"/>
        <v/>
      </c>
      <c r="M197" s="115" t="str">
        <f t="shared" si="73"/>
        <v/>
      </c>
      <c r="N197" s="267" t="str">
        <f t="shared" si="74"/>
        <v/>
      </c>
      <c r="O197" s="118" t="str">
        <f t="shared" si="75"/>
        <v/>
      </c>
      <c r="P197" s="185" t="str">
        <f t="shared" si="76"/>
        <v/>
      </c>
      <c r="Q197" s="317" t="str">
        <f t="shared" si="77"/>
        <v/>
      </c>
      <c r="R197" s="80"/>
      <c r="S197" s="409">
        <f t="shared" si="78"/>
        <v>0</v>
      </c>
      <c r="T197" s="409">
        <f t="shared" si="79"/>
        <v>0</v>
      </c>
      <c r="U197" s="428"/>
      <c r="V197" s="80"/>
      <c r="W197" s="80"/>
      <c r="X197" s="80"/>
      <c r="Y197" s="80"/>
      <c r="Z197" s="80"/>
      <c r="AA197" s="80"/>
      <c r="AB197" s="80"/>
      <c r="AC197" s="80"/>
      <c r="AD197" s="80"/>
      <c r="AE197" s="31"/>
      <c r="AK197" s="31"/>
      <c r="AL197" s="31"/>
    </row>
    <row r="198" spans="1:38" x14ac:dyDescent="0.25">
      <c r="A198" s="114" t="str">
        <f t="shared" si="80"/>
        <v/>
      </c>
      <c r="B198" s="265" t="str">
        <f t="shared" si="63"/>
        <v/>
      </c>
      <c r="C198" s="864" t="str">
        <f t="shared" si="64"/>
        <v/>
      </c>
      <c r="D198" s="865"/>
      <c r="E198" s="115" t="str">
        <f t="shared" si="65"/>
        <v/>
      </c>
      <c r="F198" s="267" t="str">
        <f t="shared" si="66"/>
        <v/>
      </c>
      <c r="G198" s="116" t="str">
        <f t="shared" si="67"/>
        <v/>
      </c>
      <c r="H198" s="183" t="str">
        <f t="shared" si="68"/>
        <v/>
      </c>
      <c r="I198" s="318" t="str">
        <f t="shared" si="69"/>
        <v/>
      </c>
      <c r="J198" s="290" t="str">
        <f t="shared" si="81"/>
        <v/>
      </c>
      <c r="K198" s="265" t="str">
        <f t="shared" si="71"/>
        <v/>
      </c>
      <c r="L198" s="131" t="str">
        <f t="shared" si="72"/>
        <v/>
      </c>
      <c r="M198" s="115" t="str">
        <f t="shared" si="73"/>
        <v/>
      </c>
      <c r="N198" s="267" t="str">
        <f t="shared" si="74"/>
        <v/>
      </c>
      <c r="O198" s="118" t="str">
        <f t="shared" si="75"/>
        <v/>
      </c>
      <c r="P198" s="185" t="str">
        <f t="shared" si="76"/>
        <v/>
      </c>
      <c r="Q198" s="317" t="str">
        <f t="shared" si="77"/>
        <v/>
      </c>
      <c r="R198" s="80"/>
      <c r="S198" s="409">
        <f t="shared" si="78"/>
        <v>0</v>
      </c>
      <c r="T198" s="409">
        <f t="shared" si="79"/>
        <v>0</v>
      </c>
      <c r="U198" s="428"/>
      <c r="V198" s="80"/>
      <c r="W198" s="80"/>
      <c r="X198" s="80"/>
      <c r="Y198" s="80"/>
      <c r="Z198" s="80"/>
      <c r="AA198" s="80"/>
      <c r="AB198" s="80"/>
      <c r="AC198" s="80"/>
      <c r="AD198" s="80"/>
      <c r="AE198" s="31"/>
      <c r="AK198" s="31"/>
      <c r="AL198" s="31"/>
    </row>
    <row r="199" spans="1:38" x14ac:dyDescent="0.25">
      <c r="A199" s="114" t="str">
        <f t="shared" si="80"/>
        <v/>
      </c>
      <c r="B199" s="265" t="str">
        <f t="shared" si="63"/>
        <v/>
      </c>
      <c r="C199" s="864" t="str">
        <f t="shared" si="64"/>
        <v/>
      </c>
      <c r="D199" s="865"/>
      <c r="E199" s="115" t="str">
        <f t="shared" si="65"/>
        <v/>
      </c>
      <c r="F199" s="267" t="str">
        <f t="shared" si="66"/>
        <v/>
      </c>
      <c r="G199" s="116" t="str">
        <f t="shared" si="67"/>
        <v/>
      </c>
      <c r="H199" s="183" t="str">
        <f t="shared" si="68"/>
        <v/>
      </c>
      <c r="I199" s="318" t="str">
        <f t="shared" si="69"/>
        <v/>
      </c>
      <c r="J199" s="290" t="str">
        <f t="shared" si="81"/>
        <v/>
      </c>
      <c r="K199" s="265" t="str">
        <f t="shared" si="71"/>
        <v/>
      </c>
      <c r="L199" s="131" t="str">
        <f t="shared" si="72"/>
        <v/>
      </c>
      <c r="M199" s="115" t="str">
        <f t="shared" si="73"/>
        <v/>
      </c>
      <c r="N199" s="267" t="str">
        <f t="shared" si="74"/>
        <v/>
      </c>
      <c r="O199" s="118" t="str">
        <f t="shared" si="75"/>
        <v/>
      </c>
      <c r="P199" s="185" t="str">
        <f t="shared" si="76"/>
        <v/>
      </c>
      <c r="Q199" s="317" t="str">
        <f t="shared" si="77"/>
        <v/>
      </c>
      <c r="R199" s="80"/>
      <c r="S199" s="409">
        <f t="shared" si="78"/>
        <v>0</v>
      </c>
      <c r="T199" s="409">
        <f t="shared" si="79"/>
        <v>0</v>
      </c>
      <c r="U199" s="428"/>
      <c r="V199" s="80"/>
      <c r="W199" s="80"/>
      <c r="X199" s="80"/>
      <c r="Y199" s="80"/>
      <c r="Z199" s="80"/>
      <c r="AA199" s="80"/>
      <c r="AB199" s="80"/>
      <c r="AC199" s="80"/>
      <c r="AD199" s="80"/>
      <c r="AE199" s="31"/>
      <c r="AK199" s="31"/>
      <c r="AL199" s="31"/>
    </row>
    <row r="200" spans="1:38" x14ac:dyDescent="0.25">
      <c r="A200" s="114" t="str">
        <f t="shared" si="62"/>
        <v/>
      </c>
      <c r="B200" s="265" t="str">
        <f t="shared" si="63"/>
        <v/>
      </c>
      <c r="C200" s="864" t="str">
        <f t="shared" si="64"/>
        <v/>
      </c>
      <c r="D200" s="865"/>
      <c r="E200" s="115" t="str">
        <f t="shared" si="65"/>
        <v/>
      </c>
      <c r="F200" s="267" t="str">
        <f t="shared" si="66"/>
        <v/>
      </c>
      <c r="G200" s="116" t="str">
        <f t="shared" si="67"/>
        <v/>
      </c>
      <c r="H200" s="183" t="str">
        <f t="shared" si="68"/>
        <v/>
      </c>
      <c r="I200" s="318" t="str">
        <f t="shared" si="69"/>
        <v/>
      </c>
      <c r="J200" s="290" t="str">
        <f t="shared" si="70"/>
        <v/>
      </c>
      <c r="K200" s="265" t="str">
        <f t="shared" si="71"/>
        <v/>
      </c>
      <c r="L200" s="131" t="str">
        <f t="shared" si="72"/>
        <v/>
      </c>
      <c r="M200" s="115" t="str">
        <f t="shared" si="73"/>
        <v/>
      </c>
      <c r="N200" s="267" t="str">
        <f t="shared" si="74"/>
        <v/>
      </c>
      <c r="O200" s="118" t="str">
        <f t="shared" si="75"/>
        <v/>
      </c>
      <c r="P200" s="185" t="str">
        <f t="shared" si="76"/>
        <v/>
      </c>
      <c r="Q200" s="317" t="str">
        <f t="shared" si="77"/>
        <v/>
      </c>
      <c r="R200" s="30"/>
      <c r="S200" s="409">
        <f t="shared" si="78"/>
        <v>0</v>
      </c>
      <c r="T200" s="409">
        <f t="shared" si="79"/>
        <v>0</v>
      </c>
      <c r="U200" s="428"/>
      <c r="V200" s="30"/>
      <c r="W200" s="84"/>
      <c r="X200" s="84"/>
      <c r="Y200" s="84"/>
      <c r="Z200" s="84"/>
      <c r="AA200" s="84"/>
      <c r="AB200" s="30"/>
      <c r="AC200" s="30"/>
      <c r="AD200" s="30"/>
      <c r="AE200" s="30"/>
      <c r="AK200" s="31"/>
      <c r="AL200" s="31"/>
    </row>
    <row r="201" spans="1:38" ht="12.75" customHeight="1" x14ac:dyDescent="0.25">
      <c r="A201" s="114" t="str">
        <f t="shared" si="62"/>
        <v/>
      </c>
      <c r="B201" s="265" t="str">
        <f t="shared" si="63"/>
        <v/>
      </c>
      <c r="C201" s="864" t="str">
        <f t="shared" si="64"/>
        <v/>
      </c>
      <c r="D201" s="865"/>
      <c r="E201" s="115" t="str">
        <f t="shared" si="65"/>
        <v/>
      </c>
      <c r="F201" s="267" t="str">
        <f t="shared" si="66"/>
        <v/>
      </c>
      <c r="G201" s="116" t="str">
        <f t="shared" si="67"/>
        <v/>
      </c>
      <c r="H201" s="183" t="str">
        <f t="shared" si="68"/>
        <v/>
      </c>
      <c r="I201" s="318" t="str">
        <f t="shared" si="69"/>
        <v/>
      </c>
      <c r="J201" s="290" t="str">
        <f t="shared" si="70"/>
        <v/>
      </c>
      <c r="K201" s="265" t="str">
        <f t="shared" si="71"/>
        <v/>
      </c>
      <c r="L201" s="131" t="str">
        <f t="shared" si="72"/>
        <v/>
      </c>
      <c r="M201" s="115" t="str">
        <f t="shared" si="73"/>
        <v/>
      </c>
      <c r="N201" s="267" t="str">
        <f t="shared" si="74"/>
        <v/>
      </c>
      <c r="O201" s="118" t="str">
        <f t="shared" si="75"/>
        <v/>
      </c>
      <c r="P201" s="185" t="str">
        <f t="shared" si="76"/>
        <v/>
      </c>
      <c r="Q201" s="317" t="str">
        <f t="shared" si="77"/>
        <v/>
      </c>
      <c r="R201" s="30"/>
      <c r="S201" s="409">
        <f t="shared" si="78"/>
        <v>0</v>
      </c>
      <c r="T201" s="409">
        <f t="shared" si="79"/>
        <v>0</v>
      </c>
      <c r="U201" s="428"/>
      <c r="V201" s="30"/>
      <c r="W201" s="84"/>
      <c r="X201" s="84"/>
      <c r="Y201" s="84"/>
      <c r="Z201" s="84"/>
      <c r="AA201" s="84"/>
      <c r="AB201" s="30"/>
      <c r="AC201" s="30"/>
      <c r="AD201" s="30"/>
      <c r="AE201" s="30"/>
      <c r="AK201" s="31"/>
      <c r="AL201" s="31"/>
    </row>
    <row r="202" spans="1:38" x14ac:dyDescent="0.25">
      <c r="A202" s="114" t="str">
        <f t="shared" si="62"/>
        <v/>
      </c>
      <c r="B202" s="265" t="str">
        <f t="shared" si="63"/>
        <v/>
      </c>
      <c r="C202" s="864" t="str">
        <f t="shared" si="64"/>
        <v/>
      </c>
      <c r="D202" s="865"/>
      <c r="E202" s="115" t="str">
        <f t="shared" si="65"/>
        <v/>
      </c>
      <c r="F202" s="267" t="str">
        <f t="shared" si="66"/>
        <v/>
      </c>
      <c r="G202" s="116" t="str">
        <f t="shared" si="67"/>
        <v/>
      </c>
      <c r="H202" s="183" t="str">
        <f t="shared" si="68"/>
        <v/>
      </c>
      <c r="I202" s="318" t="str">
        <f t="shared" si="69"/>
        <v/>
      </c>
      <c r="J202" s="290" t="str">
        <f t="shared" si="70"/>
        <v/>
      </c>
      <c r="K202" s="265" t="str">
        <f t="shared" si="71"/>
        <v/>
      </c>
      <c r="L202" s="131" t="str">
        <f t="shared" si="72"/>
        <v/>
      </c>
      <c r="M202" s="115" t="str">
        <f t="shared" si="73"/>
        <v/>
      </c>
      <c r="N202" s="267" t="str">
        <f t="shared" si="74"/>
        <v/>
      </c>
      <c r="O202" s="118" t="str">
        <f t="shared" si="75"/>
        <v/>
      </c>
      <c r="P202" s="185" t="str">
        <f t="shared" si="76"/>
        <v/>
      </c>
      <c r="Q202" s="317" t="str">
        <f t="shared" si="77"/>
        <v/>
      </c>
      <c r="R202" s="30"/>
      <c r="S202" s="409">
        <f t="shared" si="78"/>
        <v>0</v>
      </c>
      <c r="T202" s="409">
        <f t="shared" si="79"/>
        <v>0</v>
      </c>
      <c r="U202" s="428"/>
      <c r="V202" s="30"/>
      <c r="W202" s="84"/>
      <c r="X202" s="84"/>
      <c r="Y202" s="84"/>
      <c r="Z202" s="84"/>
      <c r="AA202" s="84"/>
      <c r="AB202" s="30"/>
      <c r="AC202" s="30"/>
      <c r="AD202" s="30"/>
      <c r="AE202" s="30"/>
      <c r="AK202" s="31"/>
      <c r="AL202" s="31"/>
    </row>
    <row r="203" spans="1:38" x14ac:dyDescent="0.25">
      <c r="A203" s="114" t="str">
        <f t="shared" si="62"/>
        <v/>
      </c>
      <c r="B203" s="265" t="str">
        <f t="shared" si="63"/>
        <v/>
      </c>
      <c r="C203" s="864" t="str">
        <f t="shared" si="64"/>
        <v/>
      </c>
      <c r="D203" s="865"/>
      <c r="E203" s="115" t="str">
        <f t="shared" si="65"/>
        <v/>
      </c>
      <c r="F203" s="267" t="str">
        <f t="shared" si="66"/>
        <v/>
      </c>
      <c r="G203" s="116" t="str">
        <f t="shared" si="67"/>
        <v/>
      </c>
      <c r="H203" s="183" t="str">
        <f t="shared" si="68"/>
        <v/>
      </c>
      <c r="I203" s="318" t="str">
        <f t="shared" si="69"/>
        <v/>
      </c>
      <c r="J203" s="290" t="str">
        <f t="shared" si="70"/>
        <v/>
      </c>
      <c r="K203" s="265" t="str">
        <f t="shared" si="71"/>
        <v/>
      </c>
      <c r="L203" s="131" t="str">
        <f t="shared" si="72"/>
        <v/>
      </c>
      <c r="M203" s="115" t="str">
        <f t="shared" si="73"/>
        <v/>
      </c>
      <c r="N203" s="267" t="str">
        <f t="shared" si="74"/>
        <v/>
      </c>
      <c r="O203" s="118" t="str">
        <f t="shared" si="75"/>
        <v/>
      </c>
      <c r="P203" s="185" t="str">
        <f t="shared" si="76"/>
        <v/>
      </c>
      <c r="Q203" s="317" t="str">
        <f t="shared" si="77"/>
        <v/>
      </c>
      <c r="R203" s="31"/>
      <c r="S203" s="409">
        <f t="shared" si="78"/>
        <v>0</v>
      </c>
      <c r="T203" s="409">
        <f t="shared" si="79"/>
        <v>0</v>
      </c>
      <c r="U203" s="428"/>
      <c r="V203" s="31"/>
      <c r="W203" s="80"/>
      <c r="X203" s="80"/>
      <c r="Y203" s="80"/>
      <c r="Z203" s="80"/>
      <c r="AA203" s="80"/>
      <c r="AB203" s="31"/>
      <c r="AC203" s="31"/>
      <c r="AD203" s="31"/>
      <c r="AE203" s="31"/>
      <c r="AK203" s="31"/>
      <c r="AL203" s="31"/>
    </row>
    <row r="204" spans="1:38" x14ac:dyDescent="0.25">
      <c r="A204" s="114" t="str">
        <f t="shared" si="62"/>
        <v/>
      </c>
      <c r="B204" s="265" t="str">
        <f t="shared" si="63"/>
        <v/>
      </c>
      <c r="C204" s="864" t="str">
        <f t="shared" si="64"/>
        <v/>
      </c>
      <c r="D204" s="865"/>
      <c r="E204" s="115" t="str">
        <f t="shared" si="65"/>
        <v/>
      </c>
      <c r="F204" s="267" t="str">
        <f t="shared" si="66"/>
        <v/>
      </c>
      <c r="G204" s="116" t="str">
        <f t="shared" si="67"/>
        <v/>
      </c>
      <c r="H204" s="183" t="str">
        <f t="shared" si="68"/>
        <v/>
      </c>
      <c r="I204" s="318" t="str">
        <f t="shared" si="69"/>
        <v/>
      </c>
      <c r="J204" s="290" t="str">
        <f t="shared" si="70"/>
        <v/>
      </c>
      <c r="K204" s="265" t="str">
        <f t="shared" si="71"/>
        <v/>
      </c>
      <c r="L204" s="131" t="str">
        <f t="shared" si="72"/>
        <v/>
      </c>
      <c r="M204" s="115" t="str">
        <f t="shared" si="73"/>
        <v/>
      </c>
      <c r="N204" s="267" t="str">
        <f t="shared" si="74"/>
        <v/>
      </c>
      <c r="O204" s="118" t="str">
        <f t="shared" si="75"/>
        <v/>
      </c>
      <c r="P204" s="185" t="str">
        <f t="shared" si="76"/>
        <v/>
      </c>
      <c r="Q204" s="317" t="str">
        <f t="shared" si="77"/>
        <v/>
      </c>
      <c r="R204" s="31"/>
      <c r="S204" s="409">
        <f t="shared" si="78"/>
        <v>0</v>
      </c>
      <c r="T204" s="409">
        <f t="shared" si="79"/>
        <v>0</v>
      </c>
      <c r="U204" s="428"/>
      <c r="V204" s="31"/>
      <c r="W204" s="80"/>
      <c r="X204" s="80"/>
      <c r="Y204" s="80"/>
      <c r="Z204" s="80"/>
      <c r="AA204" s="80"/>
      <c r="AB204" s="31"/>
      <c r="AC204" s="31"/>
      <c r="AD204" s="31"/>
      <c r="AE204" s="31"/>
      <c r="AK204" s="31"/>
      <c r="AL204" s="31"/>
    </row>
    <row r="205" spans="1:38" x14ac:dyDescent="0.25">
      <c r="A205" s="114" t="str">
        <f t="shared" si="62"/>
        <v/>
      </c>
      <c r="B205" s="265" t="str">
        <f t="shared" si="63"/>
        <v/>
      </c>
      <c r="C205" s="864" t="str">
        <f t="shared" si="64"/>
        <v/>
      </c>
      <c r="D205" s="865"/>
      <c r="E205" s="115" t="str">
        <f t="shared" si="65"/>
        <v/>
      </c>
      <c r="F205" s="267" t="str">
        <f t="shared" si="66"/>
        <v/>
      </c>
      <c r="G205" s="116" t="str">
        <f t="shared" si="67"/>
        <v/>
      </c>
      <c r="H205" s="183" t="str">
        <f t="shared" si="68"/>
        <v/>
      </c>
      <c r="I205" s="318" t="str">
        <f t="shared" si="69"/>
        <v/>
      </c>
      <c r="J205" s="290" t="str">
        <f t="shared" si="70"/>
        <v/>
      </c>
      <c r="K205" s="265" t="str">
        <f t="shared" si="71"/>
        <v/>
      </c>
      <c r="L205" s="131" t="str">
        <f t="shared" si="72"/>
        <v/>
      </c>
      <c r="M205" s="115" t="str">
        <f t="shared" si="73"/>
        <v/>
      </c>
      <c r="N205" s="267" t="str">
        <f t="shared" si="74"/>
        <v/>
      </c>
      <c r="O205" s="118" t="str">
        <f t="shared" si="75"/>
        <v/>
      </c>
      <c r="P205" s="185" t="str">
        <f t="shared" si="76"/>
        <v/>
      </c>
      <c r="Q205" s="317" t="str">
        <f t="shared" si="77"/>
        <v/>
      </c>
      <c r="R205" s="31"/>
      <c r="S205" s="409">
        <f t="shared" si="78"/>
        <v>0</v>
      </c>
      <c r="T205" s="409">
        <f t="shared" si="79"/>
        <v>0</v>
      </c>
      <c r="U205" s="428"/>
      <c r="V205" s="31"/>
      <c r="W205" s="80"/>
      <c r="X205" s="80"/>
      <c r="Y205" s="80"/>
      <c r="Z205" s="80"/>
      <c r="AA205" s="80"/>
      <c r="AB205" s="31"/>
      <c r="AC205" s="31"/>
      <c r="AD205" s="31"/>
      <c r="AE205" s="31"/>
      <c r="AK205" s="31"/>
      <c r="AL205" s="31"/>
    </row>
    <row r="206" spans="1:38" x14ac:dyDescent="0.25">
      <c r="A206" s="114" t="str">
        <f t="shared" si="62"/>
        <v/>
      </c>
      <c r="B206" s="265" t="str">
        <f t="shared" si="63"/>
        <v/>
      </c>
      <c r="C206" s="864" t="str">
        <f t="shared" si="64"/>
        <v/>
      </c>
      <c r="D206" s="865"/>
      <c r="E206" s="115" t="str">
        <f t="shared" si="65"/>
        <v/>
      </c>
      <c r="F206" s="267" t="str">
        <f t="shared" si="66"/>
        <v/>
      </c>
      <c r="G206" s="116" t="str">
        <f t="shared" si="67"/>
        <v/>
      </c>
      <c r="H206" s="183" t="str">
        <f t="shared" si="68"/>
        <v/>
      </c>
      <c r="I206" s="318" t="str">
        <f t="shared" si="69"/>
        <v/>
      </c>
      <c r="J206" s="290" t="str">
        <f t="shared" si="70"/>
        <v/>
      </c>
      <c r="K206" s="265" t="str">
        <f t="shared" si="71"/>
        <v/>
      </c>
      <c r="L206" s="131" t="str">
        <f t="shared" si="72"/>
        <v/>
      </c>
      <c r="M206" s="115" t="str">
        <f t="shared" si="73"/>
        <v/>
      </c>
      <c r="N206" s="267" t="str">
        <f t="shared" si="74"/>
        <v/>
      </c>
      <c r="O206" s="118" t="str">
        <f t="shared" si="75"/>
        <v/>
      </c>
      <c r="P206" s="185" t="str">
        <f t="shared" si="76"/>
        <v/>
      </c>
      <c r="Q206" s="317" t="str">
        <f t="shared" si="77"/>
        <v/>
      </c>
      <c r="R206" s="31"/>
      <c r="S206" s="409">
        <f t="shared" si="78"/>
        <v>0</v>
      </c>
      <c r="T206" s="409">
        <f t="shared" si="79"/>
        <v>0</v>
      </c>
      <c r="U206" s="428"/>
      <c r="V206" s="31"/>
      <c r="W206" s="80"/>
      <c r="X206" s="80"/>
      <c r="Y206" s="80"/>
      <c r="Z206" s="80"/>
      <c r="AA206" s="80"/>
      <c r="AB206" s="31"/>
      <c r="AC206" s="31"/>
      <c r="AD206" s="31"/>
      <c r="AE206" s="31"/>
      <c r="AK206" s="31"/>
      <c r="AL206" s="31"/>
    </row>
    <row r="207" spans="1:38" x14ac:dyDescent="0.25">
      <c r="A207" s="114" t="str">
        <f t="shared" si="62"/>
        <v/>
      </c>
      <c r="B207" s="265" t="str">
        <f t="shared" si="63"/>
        <v/>
      </c>
      <c r="C207" s="864" t="str">
        <f t="shared" si="64"/>
        <v/>
      </c>
      <c r="D207" s="865"/>
      <c r="E207" s="115" t="str">
        <f t="shared" si="65"/>
        <v/>
      </c>
      <c r="F207" s="267" t="str">
        <f t="shared" si="66"/>
        <v/>
      </c>
      <c r="G207" s="116" t="str">
        <f t="shared" si="67"/>
        <v/>
      </c>
      <c r="H207" s="183" t="str">
        <f t="shared" si="68"/>
        <v/>
      </c>
      <c r="I207" s="318" t="str">
        <f t="shared" si="69"/>
        <v/>
      </c>
      <c r="J207" s="290" t="str">
        <f t="shared" si="70"/>
        <v/>
      </c>
      <c r="K207" s="265" t="str">
        <f t="shared" si="71"/>
        <v/>
      </c>
      <c r="L207" s="131" t="str">
        <f t="shared" si="72"/>
        <v/>
      </c>
      <c r="M207" s="115" t="str">
        <f t="shared" si="73"/>
        <v/>
      </c>
      <c r="N207" s="267" t="str">
        <f t="shared" si="74"/>
        <v/>
      </c>
      <c r="O207" s="118" t="str">
        <f t="shared" si="75"/>
        <v/>
      </c>
      <c r="P207" s="185" t="str">
        <f t="shared" si="76"/>
        <v/>
      </c>
      <c r="Q207" s="317" t="str">
        <f t="shared" si="77"/>
        <v/>
      </c>
      <c r="R207" s="31"/>
      <c r="S207" s="409">
        <f t="shared" si="78"/>
        <v>0</v>
      </c>
      <c r="T207" s="409">
        <f t="shared" si="79"/>
        <v>0</v>
      </c>
      <c r="U207" s="428"/>
      <c r="V207" s="31"/>
      <c r="W207" s="80"/>
      <c r="X207" s="80"/>
      <c r="Y207" s="80"/>
      <c r="Z207" s="80"/>
      <c r="AA207" s="80"/>
      <c r="AB207" s="31"/>
      <c r="AC207" s="31"/>
      <c r="AD207" s="31"/>
      <c r="AE207" s="31"/>
      <c r="AK207" s="31"/>
      <c r="AL207" s="31"/>
    </row>
    <row r="208" spans="1:38" x14ac:dyDescent="0.25">
      <c r="A208" s="114" t="str">
        <f t="shared" si="62"/>
        <v/>
      </c>
      <c r="B208" s="265" t="str">
        <f t="shared" si="63"/>
        <v/>
      </c>
      <c r="C208" s="864" t="str">
        <f t="shared" si="64"/>
        <v/>
      </c>
      <c r="D208" s="865"/>
      <c r="E208" s="115" t="str">
        <f t="shared" si="65"/>
        <v/>
      </c>
      <c r="F208" s="267" t="str">
        <f t="shared" si="66"/>
        <v/>
      </c>
      <c r="G208" s="116" t="str">
        <f t="shared" si="67"/>
        <v/>
      </c>
      <c r="H208" s="183" t="str">
        <f t="shared" si="68"/>
        <v/>
      </c>
      <c r="I208" s="318" t="str">
        <f t="shared" si="69"/>
        <v/>
      </c>
      <c r="J208" s="290" t="str">
        <f t="shared" si="70"/>
        <v/>
      </c>
      <c r="K208" s="265" t="str">
        <f t="shared" si="71"/>
        <v/>
      </c>
      <c r="L208" s="131" t="str">
        <f t="shared" si="72"/>
        <v/>
      </c>
      <c r="M208" s="115" t="str">
        <f t="shared" si="73"/>
        <v/>
      </c>
      <c r="N208" s="267" t="str">
        <f t="shared" si="74"/>
        <v/>
      </c>
      <c r="O208" s="118" t="str">
        <f t="shared" si="75"/>
        <v/>
      </c>
      <c r="P208" s="185" t="str">
        <f t="shared" si="76"/>
        <v/>
      </c>
      <c r="Q208" s="317" t="str">
        <f t="shared" si="77"/>
        <v/>
      </c>
      <c r="R208" s="31"/>
      <c r="S208" s="409">
        <f t="shared" si="78"/>
        <v>0</v>
      </c>
      <c r="T208" s="409">
        <f t="shared" si="79"/>
        <v>0</v>
      </c>
      <c r="U208" s="428"/>
      <c r="V208" s="31"/>
      <c r="W208" s="80"/>
      <c r="X208" s="80"/>
      <c r="Y208" s="80"/>
      <c r="Z208" s="80"/>
      <c r="AA208" s="80"/>
      <c r="AB208" s="31"/>
      <c r="AC208" s="31"/>
      <c r="AD208" s="31"/>
      <c r="AE208" s="31"/>
      <c r="AK208" s="31"/>
      <c r="AL208" s="31"/>
    </row>
    <row r="209" spans="1:38" x14ac:dyDescent="0.25">
      <c r="A209" s="114" t="str">
        <f t="shared" si="62"/>
        <v/>
      </c>
      <c r="B209" s="265" t="str">
        <f t="shared" si="63"/>
        <v/>
      </c>
      <c r="C209" s="864" t="str">
        <f t="shared" si="64"/>
        <v/>
      </c>
      <c r="D209" s="865"/>
      <c r="E209" s="115" t="str">
        <f t="shared" si="65"/>
        <v/>
      </c>
      <c r="F209" s="267" t="str">
        <f t="shared" si="66"/>
        <v/>
      </c>
      <c r="G209" s="116" t="str">
        <f t="shared" si="67"/>
        <v/>
      </c>
      <c r="H209" s="183" t="str">
        <f t="shared" si="68"/>
        <v/>
      </c>
      <c r="I209" s="318" t="str">
        <f t="shared" si="69"/>
        <v/>
      </c>
      <c r="J209" s="290" t="str">
        <f t="shared" si="70"/>
        <v/>
      </c>
      <c r="K209" s="265" t="str">
        <f t="shared" si="71"/>
        <v/>
      </c>
      <c r="L209" s="131" t="str">
        <f t="shared" si="72"/>
        <v/>
      </c>
      <c r="M209" s="115" t="str">
        <f t="shared" si="73"/>
        <v/>
      </c>
      <c r="N209" s="267" t="str">
        <f t="shared" si="74"/>
        <v/>
      </c>
      <c r="O209" s="118" t="str">
        <f t="shared" si="75"/>
        <v/>
      </c>
      <c r="P209" s="185" t="str">
        <f t="shared" si="76"/>
        <v/>
      </c>
      <c r="Q209" s="317" t="str">
        <f t="shared" si="77"/>
        <v/>
      </c>
      <c r="R209" s="31"/>
      <c r="S209" s="409">
        <f t="shared" si="78"/>
        <v>0</v>
      </c>
      <c r="T209" s="409">
        <f t="shared" si="79"/>
        <v>0</v>
      </c>
      <c r="U209" s="428"/>
      <c r="V209" s="31"/>
      <c r="W209" s="80"/>
      <c r="X209" s="80"/>
      <c r="Y209" s="80"/>
      <c r="Z209" s="80"/>
      <c r="AA209" s="80"/>
      <c r="AB209" s="31"/>
      <c r="AC209" s="31"/>
      <c r="AD209" s="31"/>
      <c r="AE209" s="31"/>
      <c r="AK209" s="31"/>
      <c r="AL209" s="31"/>
    </row>
    <row r="210" spans="1:38" x14ac:dyDescent="0.25">
      <c r="A210" s="114" t="str">
        <f t="shared" si="62"/>
        <v/>
      </c>
      <c r="B210" s="265" t="str">
        <f t="shared" si="63"/>
        <v/>
      </c>
      <c r="C210" s="864" t="str">
        <f t="shared" si="64"/>
        <v/>
      </c>
      <c r="D210" s="865"/>
      <c r="E210" s="115" t="str">
        <f t="shared" si="65"/>
        <v/>
      </c>
      <c r="F210" s="267" t="str">
        <f t="shared" si="66"/>
        <v/>
      </c>
      <c r="G210" s="116" t="str">
        <f t="shared" si="67"/>
        <v/>
      </c>
      <c r="H210" s="183" t="str">
        <f t="shared" si="68"/>
        <v/>
      </c>
      <c r="I210" s="318" t="str">
        <f t="shared" si="69"/>
        <v/>
      </c>
      <c r="J210" s="290" t="str">
        <f t="shared" si="70"/>
        <v/>
      </c>
      <c r="K210" s="265" t="str">
        <f t="shared" si="71"/>
        <v/>
      </c>
      <c r="L210" s="131" t="str">
        <f t="shared" si="72"/>
        <v/>
      </c>
      <c r="M210" s="115" t="str">
        <f t="shared" si="73"/>
        <v/>
      </c>
      <c r="N210" s="267" t="str">
        <f t="shared" si="74"/>
        <v/>
      </c>
      <c r="O210" s="118" t="str">
        <f t="shared" si="75"/>
        <v/>
      </c>
      <c r="P210" s="185" t="str">
        <f t="shared" si="76"/>
        <v/>
      </c>
      <c r="Q210" s="317" t="str">
        <f t="shared" si="77"/>
        <v/>
      </c>
      <c r="R210" s="31"/>
      <c r="S210" s="409">
        <f t="shared" si="78"/>
        <v>0</v>
      </c>
      <c r="T210" s="409">
        <f t="shared" si="79"/>
        <v>0</v>
      </c>
      <c r="U210" s="428"/>
      <c r="V210" s="31"/>
      <c r="W210" s="80"/>
      <c r="X210" s="80"/>
      <c r="Y210" s="80"/>
      <c r="Z210" s="80"/>
      <c r="AA210" s="80"/>
      <c r="AB210" s="31"/>
      <c r="AC210" s="31"/>
      <c r="AD210" s="31"/>
      <c r="AE210" s="31"/>
      <c r="AK210" s="31"/>
      <c r="AL210" s="31"/>
    </row>
    <row r="211" spans="1:38" x14ac:dyDescent="0.25">
      <c r="A211" s="114" t="str">
        <f t="shared" si="62"/>
        <v/>
      </c>
      <c r="B211" s="265" t="str">
        <f t="shared" si="63"/>
        <v/>
      </c>
      <c r="C211" s="864" t="str">
        <f t="shared" si="64"/>
        <v/>
      </c>
      <c r="D211" s="865"/>
      <c r="E211" s="115" t="str">
        <f t="shared" si="65"/>
        <v/>
      </c>
      <c r="F211" s="267" t="str">
        <f t="shared" si="66"/>
        <v/>
      </c>
      <c r="G211" s="116" t="str">
        <f t="shared" si="67"/>
        <v/>
      </c>
      <c r="H211" s="183" t="str">
        <f t="shared" si="68"/>
        <v/>
      </c>
      <c r="I211" s="318" t="str">
        <f t="shared" si="69"/>
        <v/>
      </c>
      <c r="J211" s="290" t="str">
        <f t="shared" si="70"/>
        <v/>
      </c>
      <c r="K211" s="265" t="str">
        <f t="shared" si="71"/>
        <v/>
      </c>
      <c r="L211" s="131" t="str">
        <f t="shared" si="72"/>
        <v/>
      </c>
      <c r="M211" s="115" t="str">
        <f t="shared" si="73"/>
        <v/>
      </c>
      <c r="N211" s="267" t="str">
        <f t="shared" si="74"/>
        <v/>
      </c>
      <c r="O211" s="118" t="str">
        <f t="shared" si="75"/>
        <v/>
      </c>
      <c r="P211" s="185" t="str">
        <f t="shared" si="76"/>
        <v/>
      </c>
      <c r="Q211" s="317" t="str">
        <f t="shared" si="77"/>
        <v/>
      </c>
      <c r="R211" s="31"/>
      <c r="S211" s="409">
        <f t="shared" si="78"/>
        <v>0</v>
      </c>
      <c r="T211" s="409">
        <f t="shared" si="79"/>
        <v>0</v>
      </c>
      <c r="U211" s="428"/>
      <c r="V211" s="31"/>
      <c r="W211" s="80"/>
      <c r="X211" s="80"/>
      <c r="Y211" s="80"/>
      <c r="Z211" s="80"/>
      <c r="AA211" s="80"/>
      <c r="AB211" s="31"/>
      <c r="AC211" s="31"/>
      <c r="AD211" s="31"/>
      <c r="AE211" s="31"/>
      <c r="AK211" s="31"/>
      <c r="AL211" s="31"/>
    </row>
    <row r="212" spans="1:38" x14ac:dyDescent="0.25">
      <c r="A212" s="114" t="str">
        <f t="shared" si="62"/>
        <v/>
      </c>
      <c r="B212" s="265" t="str">
        <f t="shared" si="63"/>
        <v/>
      </c>
      <c r="C212" s="864" t="str">
        <f t="shared" si="64"/>
        <v/>
      </c>
      <c r="D212" s="865"/>
      <c r="E212" s="115" t="str">
        <f t="shared" si="65"/>
        <v/>
      </c>
      <c r="F212" s="267" t="str">
        <f t="shared" si="66"/>
        <v/>
      </c>
      <c r="G212" s="116" t="str">
        <f t="shared" si="67"/>
        <v/>
      </c>
      <c r="H212" s="183" t="str">
        <f t="shared" si="68"/>
        <v/>
      </c>
      <c r="I212" s="318" t="str">
        <f t="shared" si="69"/>
        <v/>
      </c>
      <c r="J212" s="290" t="str">
        <f t="shared" si="70"/>
        <v/>
      </c>
      <c r="K212" s="265" t="str">
        <f t="shared" si="71"/>
        <v/>
      </c>
      <c r="L212" s="131" t="str">
        <f t="shared" si="72"/>
        <v/>
      </c>
      <c r="M212" s="115" t="str">
        <f t="shared" si="73"/>
        <v/>
      </c>
      <c r="N212" s="267" t="str">
        <f t="shared" si="74"/>
        <v/>
      </c>
      <c r="O212" s="118" t="str">
        <f t="shared" si="75"/>
        <v/>
      </c>
      <c r="P212" s="185" t="str">
        <f t="shared" si="76"/>
        <v/>
      </c>
      <c r="Q212" s="317" t="str">
        <f t="shared" si="77"/>
        <v/>
      </c>
      <c r="R212" s="31"/>
      <c r="S212" s="409">
        <f t="shared" si="78"/>
        <v>0</v>
      </c>
      <c r="T212" s="409">
        <f t="shared" si="79"/>
        <v>0</v>
      </c>
      <c r="U212" s="428"/>
      <c r="V212" s="31"/>
      <c r="W212" s="80"/>
      <c r="X212" s="80"/>
      <c r="Y212" s="80"/>
      <c r="Z212" s="80"/>
      <c r="AA212" s="80"/>
      <c r="AB212" s="31"/>
      <c r="AC212" s="31"/>
      <c r="AD212" s="31"/>
      <c r="AE212" s="31"/>
      <c r="AK212" s="31"/>
      <c r="AL212" s="31"/>
    </row>
    <row r="213" spans="1:38" x14ac:dyDescent="0.25">
      <c r="A213" s="114" t="str">
        <f t="shared" si="62"/>
        <v/>
      </c>
      <c r="B213" s="265" t="str">
        <f t="shared" si="63"/>
        <v/>
      </c>
      <c r="C213" s="864" t="str">
        <f t="shared" si="64"/>
        <v/>
      </c>
      <c r="D213" s="865"/>
      <c r="E213" s="115" t="str">
        <f t="shared" si="65"/>
        <v/>
      </c>
      <c r="F213" s="267" t="str">
        <f t="shared" si="66"/>
        <v/>
      </c>
      <c r="G213" s="116" t="str">
        <f t="shared" si="67"/>
        <v/>
      </c>
      <c r="H213" s="183" t="str">
        <f t="shared" si="68"/>
        <v/>
      </c>
      <c r="I213" s="318" t="str">
        <f t="shared" si="69"/>
        <v/>
      </c>
      <c r="J213" s="290" t="str">
        <f t="shared" si="70"/>
        <v/>
      </c>
      <c r="K213" s="265" t="str">
        <f t="shared" si="71"/>
        <v/>
      </c>
      <c r="L213" s="131" t="str">
        <f t="shared" si="72"/>
        <v/>
      </c>
      <c r="M213" s="115" t="str">
        <f t="shared" si="73"/>
        <v/>
      </c>
      <c r="N213" s="267" t="str">
        <f t="shared" si="74"/>
        <v/>
      </c>
      <c r="O213" s="118" t="str">
        <f t="shared" si="75"/>
        <v/>
      </c>
      <c r="P213" s="185" t="str">
        <f t="shared" si="76"/>
        <v/>
      </c>
      <c r="Q213" s="317" t="str">
        <f t="shared" si="77"/>
        <v/>
      </c>
      <c r="R213" s="31"/>
      <c r="S213" s="409">
        <f t="shared" si="78"/>
        <v>0</v>
      </c>
      <c r="T213" s="409">
        <f t="shared" si="79"/>
        <v>0</v>
      </c>
      <c r="U213" s="428"/>
      <c r="V213" s="31"/>
      <c r="W213" s="80"/>
      <c r="X213" s="80"/>
      <c r="Y213" s="80"/>
      <c r="Z213" s="80"/>
      <c r="AA213" s="80"/>
      <c r="AB213" s="31"/>
      <c r="AC213" s="31"/>
      <c r="AD213" s="31"/>
      <c r="AE213" s="31"/>
      <c r="AK213" s="31"/>
      <c r="AL213" s="31"/>
    </row>
    <row r="214" spans="1:38" x14ac:dyDescent="0.25">
      <c r="A214" s="114" t="str">
        <f t="shared" si="62"/>
        <v/>
      </c>
      <c r="B214" s="265" t="str">
        <f t="shared" si="63"/>
        <v/>
      </c>
      <c r="C214" s="864" t="str">
        <f t="shared" si="64"/>
        <v/>
      </c>
      <c r="D214" s="865"/>
      <c r="E214" s="115" t="str">
        <f t="shared" si="65"/>
        <v/>
      </c>
      <c r="F214" s="267" t="str">
        <f t="shared" si="66"/>
        <v/>
      </c>
      <c r="G214" s="116" t="str">
        <f t="shared" si="67"/>
        <v/>
      </c>
      <c r="H214" s="183" t="str">
        <f t="shared" si="68"/>
        <v/>
      </c>
      <c r="I214" s="318" t="str">
        <f t="shared" si="69"/>
        <v/>
      </c>
      <c r="J214" s="290" t="str">
        <f t="shared" si="70"/>
        <v/>
      </c>
      <c r="K214" s="265" t="str">
        <f t="shared" si="71"/>
        <v/>
      </c>
      <c r="L214" s="131" t="str">
        <f t="shared" si="72"/>
        <v/>
      </c>
      <c r="M214" s="115" t="str">
        <f t="shared" si="73"/>
        <v/>
      </c>
      <c r="N214" s="267" t="str">
        <f t="shared" si="74"/>
        <v/>
      </c>
      <c r="O214" s="118" t="str">
        <f t="shared" si="75"/>
        <v/>
      </c>
      <c r="P214" s="185" t="str">
        <f t="shared" si="76"/>
        <v/>
      </c>
      <c r="Q214" s="317" t="str">
        <f t="shared" si="77"/>
        <v/>
      </c>
      <c r="R214" s="31"/>
      <c r="S214" s="409">
        <f t="shared" si="78"/>
        <v>0</v>
      </c>
      <c r="T214" s="409">
        <f t="shared" si="79"/>
        <v>0</v>
      </c>
      <c r="U214" s="428"/>
      <c r="V214" s="31"/>
      <c r="W214" s="80"/>
      <c r="X214" s="80"/>
      <c r="Y214" s="80"/>
      <c r="Z214" s="80"/>
      <c r="AA214" s="80"/>
      <c r="AB214" s="31"/>
      <c r="AC214" s="31"/>
      <c r="AD214" s="31"/>
      <c r="AE214" s="31"/>
      <c r="AK214" s="31"/>
      <c r="AL214" s="31"/>
    </row>
    <row r="215" spans="1:38" x14ac:dyDescent="0.25">
      <c r="A215" s="114" t="str">
        <f t="shared" si="62"/>
        <v/>
      </c>
      <c r="B215" s="265" t="str">
        <f t="shared" si="63"/>
        <v/>
      </c>
      <c r="C215" s="864" t="str">
        <f t="shared" si="64"/>
        <v/>
      </c>
      <c r="D215" s="865"/>
      <c r="E215" s="115" t="str">
        <f t="shared" si="65"/>
        <v/>
      </c>
      <c r="F215" s="267" t="str">
        <f t="shared" si="66"/>
        <v/>
      </c>
      <c r="G215" s="116" t="str">
        <f t="shared" si="67"/>
        <v/>
      </c>
      <c r="H215" s="183" t="str">
        <f t="shared" si="68"/>
        <v/>
      </c>
      <c r="I215" s="318" t="str">
        <f t="shared" si="69"/>
        <v/>
      </c>
      <c r="J215" s="290" t="str">
        <f t="shared" si="70"/>
        <v/>
      </c>
      <c r="K215" s="265" t="str">
        <f t="shared" si="71"/>
        <v/>
      </c>
      <c r="L215" s="131" t="str">
        <f t="shared" si="72"/>
        <v/>
      </c>
      <c r="M215" s="115" t="str">
        <f t="shared" si="73"/>
        <v/>
      </c>
      <c r="N215" s="267" t="str">
        <f t="shared" si="74"/>
        <v/>
      </c>
      <c r="O215" s="118" t="str">
        <f t="shared" si="75"/>
        <v/>
      </c>
      <c r="P215" s="185" t="str">
        <f t="shared" si="76"/>
        <v/>
      </c>
      <c r="Q215" s="317" t="str">
        <f t="shared" si="77"/>
        <v/>
      </c>
      <c r="R215" s="31"/>
      <c r="S215" s="409">
        <f t="shared" si="78"/>
        <v>0</v>
      </c>
      <c r="T215" s="409">
        <f t="shared" si="79"/>
        <v>0</v>
      </c>
      <c r="U215" s="428"/>
      <c r="V215" s="31"/>
      <c r="W215" s="80"/>
      <c r="X215" s="80"/>
      <c r="Y215" s="80"/>
      <c r="Z215" s="80"/>
      <c r="AA215" s="80"/>
      <c r="AB215" s="31"/>
      <c r="AC215" s="31"/>
      <c r="AD215" s="31"/>
      <c r="AE215" s="31"/>
      <c r="AK215" s="31"/>
      <c r="AL215" s="31"/>
    </row>
    <row r="216" spans="1:38" x14ac:dyDescent="0.25">
      <c r="A216" s="114" t="str">
        <f t="shared" si="62"/>
        <v/>
      </c>
      <c r="B216" s="265" t="str">
        <f t="shared" si="63"/>
        <v/>
      </c>
      <c r="C216" s="864" t="str">
        <f t="shared" si="64"/>
        <v/>
      </c>
      <c r="D216" s="865"/>
      <c r="E216" s="115" t="str">
        <f t="shared" si="65"/>
        <v/>
      </c>
      <c r="F216" s="267" t="str">
        <f t="shared" si="66"/>
        <v/>
      </c>
      <c r="G216" s="116" t="str">
        <f t="shared" si="67"/>
        <v/>
      </c>
      <c r="H216" s="183" t="str">
        <f t="shared" si="68"/>
        <v/>
      </c>
      <c r="I216" s="318" t="str">
        <f t="shared" si="69"/>
        <v/>
      </c>
      <c r="J216" s="290" t="str">
        <f t="shared" si="70"/>
        <v/>
      </c>
      <c r="K216" s="265" t="str">
        <f t="shared" si="71"/>
        <v/>
      </c>
      <c r="L216" s="131" t="str">
        <f t="shared" si="72"/>
        <v/>
      </c>
      <c r="M216" s="115" t="str">
        <f t="shared" si="73"/>
        <v/>
      </c>
      <c r="N216" s="267" t="str">
        <f t="shared" si="74"/>
        <v/>
      </c>
      <c r="O216" s="118" t="str">
        <f t="shared" si="75"/>
        <v/>
      </c>
      <c r="P216" s="185" t="str">
        <f t="shared" si="76"/>
        <v/>
      </c>
      <c r="Q216" s="317" t="str">
        <f t="shared" si="77"/>
        <v/>
      </c>
      <c r="R216" s="31"/>
      <c r="S216" s="409">
        <f t="shared" si="78"/>
        <v>0</v>
      </c>
      <c r="T216" s="409">
        <f t="shared" si="79"/>
        <v>0</v>
      </c>
      <c r="U216" s="428"/>
      <c r="V216" s="31"/>
      <c r="W216" s="80"/>
      <c r="X216" s="80"/>
      <c r="Y216" s="80"/>
      <c r="Z216" s="80"/>
      <c r="AA216" s="80"/>
      <c r="AB216" s="31"/>
      <c r="AC216" s="31"/>
      <c r="AD216" s="31"/>
      <c r="AE216" s="31"/>
      <c r="AK216" s="31"/>
      <c r="AL216" s="31"/>
    </row>
    <row r="217" spans="1:38" x14ac:dyDescent="0.25">
      <c r="A217" s="114" t="str">
        <f t="shared" si="62"/>
        <v/>
      </c>
      <c r="B217" s="265" t="str">
        <f t="shared" si="63"/>
        <v/>
      </c>
      <c r="C217" s="864" t="str">
        <f t="shared" si="64"/>
        <v/>
      </c>
      <c r="D217" s="865"/>
      <c r="E217" s="115" t="str">
        <f t="shared" si="65"/>
        <v/>
      </c>
      <c r="F217" s="267" t="str">
        <f t="shared" si="66"/>
        <v/>
      </c>
      <c r="G217" s="116" t="str">
        <f t="shared" si="67"/>
        <v/>
      </c>
      <c r="H217" s="183" t="str">
        <f t="shared" si="68"/>
        <v/>
      </c>
      <c r="I217" s="318" t="str">
        <f t="shared" si="69"/>
        <v/>
      </c>
      <c r="J217" s="290" t="str">
        <f t="shared" si="70"/>
        <v/>
      </c>
      <c r="K217" s="265" t="str">
        <f t="shared" si="71"/>
        <v/>
      </c>
      <c r="L217" s="131" t="str">
        <f t="shared" si="72"/>
        <v/>
      </c>
      <c r="M217" s="115" t="str">
        <f t="shared" si="73"/>
        <v/>
      </c>
      <c r="N217" s="267" t="str">
        <f t="shared" si="74"/>
        <v/>
      </c>
      <c r="O217" s="118" t="str">
        <f t="shared" si="75"/>
        <v/>
      </c>
      <c r="P217" s="185" t="str">
        <f t="shared" si="76"/>
        <v/>
      </c>
      <c r="Q217" s="317" t="str">
        <f t="shared" si="77"/>
        <v/>
      </c>
      <c r="R217" s="31"/>
      <c r="S217" s="409">
        <f t="shared" si="78"/>
        <v>0</v>
      </c>
      <c r="T217" s="409">
        <f t="shared" si="79"/>
        <v>0</v>
      </c>
      <c r="U217" s="428"/>
      <c r="V217" s="31"/>
      <c r="W217" s="80"/>
      <c r="X217" s="80"/>
      <c r="Y217" s="80"/>
      <c r="Z217" s="80"/>
      <c r="AA217" s="80"/>
      <c r="AB217" s="31"/>
      <c r="AC217" s="31"/>
      <c r="AD217" s="31"/>
      <c r="AE217" s="31"/>
      <c r="AK217" s="31"/>
      <c r="AL217" s="31"/>
    </row>
    <row r="218" spans="1:38" x14ac:dyDescent="0.25">
      <c r="A218" s="114" t="str">
        <f t="shared" si="62"/>
        <v/>
      </c>
      <c r="B218" s="265" t="str">
        <f t="shared" si="63"/>
        <v/>
      </c>
      <c r="C218" s="864" t="str">
        <f t="shared" si="64"/>
        <v/>
      </c>
      <c r="D218" s="865"/>
      <c r="E218" s="115" t="str">
        <f t="shared" si="65"/>
        <v/>
      </c>
      <c r="F218" s="267" t="str">
        <f t="shared" si="66"/>
        <v/>
      </c>
      <c r="G218" s="116" t="str">
        <f t="shared" si="67"/>
        <v/>
      </c>
      <c r="H218" s="183" t="str">
        <f t="shared" si="68"/>
        <v/>
      </c>
      <c r="I218" s="318" t="str">
        <f t="shared" si="69"/>
        <v/>
      </c>
      <c r="J218" s="290" t="str">
        <f t="shared" si="70"/>
        <v/>
      </c>
      <c r="K218" s="265" t="str">
        <f t="shared" si="71"/>
        <v/>
      </c>
      <c r="L218" s="131" t="str">
        <f t="shared" si="72"/>
        <v/>
      </c>
      <c r="M218" s="115" t="str">
        <f t="shared" si="73"/>
        <v/>
      </c>
      <c r="N218" s="267" t="str">
        <f t="shared" si="74"/>
        <v/>
      </c>
      <c r="O218" s="118" t="str">
        <f t="shared" si="75"/>
        <v/>
      </c>
      <c r="P218" s="185" t="str">
        <f t="shared" si="76"/>
        <v/>
      </c>
      <c r="Q218" s="317" t="str">
        <f t="shared" si="77"/>
        <v/>
      </c>
      <c r="R218" s="31"/>
      <c r="S218" s="409">
        <f t="shared" si="78"/>
        <v>0</v>
      </c>
      <c r="T218" s="409">
        <f t="shared" si="79"/>
        <v>0</v>
      </c>
      <c r="U218" s="428"/>
      <c r="V218" s="31"/>
      <c r="W218" s="80"/>
      <c r="X218" s="80"/>
      <c r="Y218" s="80"/>
      <c r="Z218" s="80"/>
      <c r="AA218" s="80"/>
      <c r="AB218" s="31"/>
      <c r="AC218" s="31"/>
      <c r="AD218" s="31"/>
      <c r="AE218" s="31"/>
      <c r="AK218" s="31"/>
      <c r="AL218" s="31"/>
    </row>
    <row r="219" spans="1:38" x14ac:dyDescent="0.25">
      <c r="A219" s="114" t="str">
        <f t="shared" si="62"/>
        <v/>
      </c>
      <c r="B219" s="265" t="str">
        <f t="shared" si="63"/>
        <v/>
      </c>
      <c r="C219" s="864" t="str">
        <f t="shared" si="64"/>
        <v/>
      </c>
      <c r="D219" s="865"/>
      <c r="E219" s="115" t="str">
        <f t="shared" si="65"/>
        <v/>
      </c>
      <c r="F219" s="267" t="str">
        <f t="shared" si="66"/>
        <v/>
      </c>
      <c r="G219" s="116" t="str">
        <f t="shared" si="67"/>
        <v/>
      </c>
      <c r="H219" s="183" t="str">
        <f t="shared" si="68"/>
        <v/>
      </c>
      <c r="I219" s="318" t="str">
        <f t="shared" si="69"/>
        <v/>
      </c>
      <c r="J219" s="290" t="str">
        <f t="shared" si="70"/>
        <v/>
      </c>
      <c r="K219" s="265" t="str">
        <f t="shared" si="71"/>
        <v/>
      </c>
      <c r="L219" s="131" t="str">
        <f t="shared" si="72"/>
        <v/>
      </c>
      <c r="M219" s="115" t="str">
        <f t="shared" si="73"/>
        <v/>
      </c>
      <c r="N219" s="267" t="str">
        <f t="shared" si="74"/>
        <v/>
      </c>
      <c r="O219" s="118" t="str">
        <f t="shared" si="75"/>
        <v/>
      </c>
      <c r="P219" s="185" t="str">
        <f t="shared" si="76"/>
        <v/>
      </c>
      <c r="Q219" s="317" t="str">
        <f t="shared" si="77"/>
        <v/>
      </c>
      <c r="R219" s="31"/>
      <c r="S219" s="409">
        <f t="shared" si="78"/>
        <v>0</v>
      </c>
      <c r="T219" s="409">
        <f t="shared" si="79"/>
        <v>0</v>
      </c>
      <c r="U219" s="428"/>
      <c r="V219" s="31"/>
      <c r="W219" s="80"/>
      <c r="X219" s="80"/>
      <c r="Y219" s="80"/>
      <c r="Z219" s="80"/>
      <c r="AA219" s="80"/>
      <c r="AB219" s="31"/>
      <c r="AC219" s="31"/>
      <c r="AD219" s="31"/>
      <c r="AE219" s="31"/>
      <c r="AK219" s="31"/>
      <c r="AL219" s="31"/>
    </row>
    <row r="220" spans="1:38" x14ac:dyDescent="0.25">
      <c r="A220" s="114" t="str">
        <f t="shared" si="62"/>
        <v/>
      </c>
      <c r="B220" s="265" t="str">
        <f t="shared" si="63"/>
        <v/>
      </c>
      <c r="C220" s="864" t="str">
        <f t="shared" si="64"/>
        <v/>
      </c>
      <c r="D220" s="865"/>
      <c r="E220" s="115" t="str">
        <f t="shared" si="65"/>
        <v/>
      </c>
      <c r="F220" s="267" t="str">
        <f t="shared" si="66"/>
        <v/>
      </c>
      <c r="G220" s="116" t="str">
        <f t="shared" si="67"/>
        <v/>
      </c>
      <c r="H220" s="183" t="str">
        <f t="shared" si="68"/>
        <v/>
      </c>
      <c r="I220" s="318" t="str">
        <f t="shared" si="69"/>
        <v/>
      </c>
      <c r="J220" s="290" t="str">
        <f t="shared" si="70"/>
        <v/>
      </c>
      <c r="K220" s="265" t="str">
        <f t="shared" si="71"/>
        <v/>
      </c>
      <c r="L220" s="131" t="str">
        <f t="shared" si="72"/>
        <v/>
      </c>
      <c r="M220" s="115" t="str">
        <f t="shared" si="73"/>
        <v/>
      </c>
      <c r="N220" s="267" t="str">
        <f t="shared" si="74"/>
        <v/>
      </c>
      <c r="O220" s="118" t="str">
        <f t="shared" si="75"/>
        <v/>
      </c>
      <c r="P220" s="185" t="str">
        <f t="shared" si="76"/>
        <v/>
      </c>
      <c r="Q220" s="317" t="str">
        <f t="shared" si="77"/>
        <v/>
      </c>
      <c r="R220" s="31"/>
      <c r="S220" s="409">
        <f t="shared" si="78"/>
        <v>0</v>
      </c>
      <c r="T220" s="409">
        <f t="shared" si="79"/>
        <v>0</v>
      </c>
      <c r="U220" s="428"/>
      <c r="V220" s="31"/>
      <c r="W220" s="80"/>
      <c r="X220" s="80"/>
      <c r="Y220" s="80"/>
      <c r="Z220" s="80"/>
      <c r="AA220" s="80"/>
      <c r="AB220" s="31"/>
      <c r="AC220" s="31"/>
      <c r="AD220" s="31"/>
      <c r="AE220" s="31"/>
      <c r="AK220" s="31"/>
      <c r="AL220" s="31"/>
    </row>
    <row r="221" spans="1:38" x14ac:dyDescent="0.25">
      <c r="A221" s="114" t="str">
        <f t="shared" si="62"/>
        <v/>
      </c>
      <c r="B221" s="265" t="str">
        <f t="shared" si="63"/>
        <v/>
      </c>
      <c r="C221" s="864" t="str">
        <f t="shared" si="64"/>
        <v/>
      </c>
      <c r="D221" s="865"/>
      <c r="E221" s="115" t="str">
        <f t="shared" si="65"/>
        <v/>
      </c>
      <c r="F221" s="267" t="str">
        <f t="shared" si="66"/>
        <v/>
      </c>
      <c r="G221" s="116" t="str">
        <f t="shared" si="67"/>
        <v/>
      </c>
      <c r="H221" s="183" t="str">
        <f t="shared" si="68"/>
        <v/>
      </c>
      <c r="I221" s="318" t="str">
        <f t="shared" si="69"/>
        <v/>
      </c>
      <c r="J221" s="290" t="str">
        <f t="shared" si="70"/>
        <v/>
      </c>
      <c r="K221" s="265" t="str">
        <f t="shared" si="71"/>
        <v/>
      </c>
      <c r="L221" s="131" t="str">
        <f t="shared" si="72"/>
        <v/>
      </c>
      <c r="M221" s="115" t="str">
        <f t="shared" si="73"/>
        <v/>
      </c>
      <c r="N221" s="267" t="str">
        <f t="shared" si="74"/>
        <v/>
      </c>
      <c r="O221" s="118" t="str">
        <f t="shared" si="75"/>
        <v/>
      </c>
      <c r="P221" s="185" t="str">
        <f t="shared" si="76"/>
        <v/>
      </c>
      <c r="Q221" s="317" t="str">
        <f t="shared" si="77"/>
        <v/>
      </c>
      <c r="R221" s="31"/>
      <c r="S221" s="409">
        <f t="shared" si="78"/>
        <v>0</v>
      </c>
      <c r="T221" s="409">
        <f t="shared" si="79"/>
        <v>0</v>
      </c>
      <c r="U221" s="428"/>
      <c r="V221" s="31"/>
      <c r="W221" s="80"/>
      <c r="X221" s="80"/>
      <c r="Y221" s="80"/>
      <c r="Z221" s="80"/>
      <c r="AA221" s="80"/>
      <c r="AB221" s="31"/>
      <c r="AC221" s="31"/>
      <c r="AD221" s="31"/>
      <c r="AE221" s="31"/>
      <c r="AK221" s="31"/>
      <c r="AL221" s="31"/>
    </row>
    <row r="222" spans="1:38" x14ac:dyDescent="0.25">
      <c r="A222" s="114" t="str">
        <f t="shared" si="62"/>
        <v/>
      </c>
      <c r="B222" s="265" t="str">
        <f t="shared" si="63"/>
        <v/>
      </c>
      <c r="C222" s="864" t="str">
        <f t="shared" si="64"/>
        <v/>
      </c>
      <c r="D222" s="865"/>
      <c r="E222" s="115" t="str">
        <f t="shared" si="65"/>
        <v/>
      </c>
      <c r="F222" s="267" t="str">
        <f t="shared" si="66"/>
        <v/>
      </c>
      <c r="G222" s="116" t="str">
        <f t="shared" si="67"/>
        <v/>
      </c>
      <c r="H222" s="183" t="str">
        <f t="shared" si="68"/>
        <v/>
      </c>
      <c r="I222" s="318" t="str">
        <f t="shared" si="69"/>
        <v/>
      </c>
      <c r="J222" s="290" t="str">
        <f t="shared" si="70"/>
        <v/>
      </c>
      <c r="K222" s="265" t="str">
        <f t="shared" si="71"/>
        <v/>
      </c>
      <c r="L222" s="131" t="str">
        <f t="shared" si="72"/>
        <v/>
      </c>
      <c r="M222" s="115" t="str">
        <f t="shared" si="73"/>
        <v/>
      </c>
      <c r="N222" s="267" t="str">
        <f t="shared" si="74"/>
        <v/>
      </c>
      <c r="O222" s="118" t="str">
        <f t="shared" si="75"/>
        <v/>
      </c>
      <c r="P222" s="185" t="str">
        <f t="shared" si="76"/>
        <v/>
      </c>
      <c r="Q222" s="317" t="str">
        <f t="shared" si="77"/>
        <v/>
      </c>
      <c r="R222" s="31"/>
      <c r="S222" s="409">
        <f t="shared" si="78"/>
        <v>0</v>
      </c>
      <c r="T222" s="409">
        <f t="shared" si="79"/>
        <v>0</v>
      </c>
      <c r="U222" s="428"/>
      <c r="V222" s="31"/>
      <c r="W222" s="80"/>
      <c r="X222" s="80"/>
      <c r="Y222" s="80"/>
      <c r="Z222" s="80"/>
      <c r="AA222" s="80"/>
      <c r="AB222" s="31"/>
      <c r="AC222" s="31"/>
      <c r="AD222" s="31"/>
      <c r="AE222" s="31"/>
      <c r="AK222" s="31"/>
      <c r="AL222" s="31"/>
    </row>
    <row r="223" spans="1:38" x14ac:dyDescent="0.25">
      <c r="A223" s="114" t="str">
        <f t="shared" si="62"/>
        <v/>
      </c>
      <c r="B223" s="265" t="str">
        <f t="shared" si="63"/>
        <v/>
      </c>
      <c r="C223" s="864" t="str">
        <f t="shared" si="64"/>
        <v/>
      </c>
      <c r="D223" s="865"/>
      <c r="E223" s="115" t="str">
        <f t="shared" si="65"/>
        <v/>
      </c>
      <c r="F223" s="267" t="str">
        <f t="shared" si="66"/>
        <v/>
      </c>
      <c r="G223" s="116" t="str">
        <f t="shared" si="67"/>
        <v/>
      </c>
      <c r="H223" s="183" t="str">
        <f t="shared" si="68"/>
        <v/>
      </c>
      <c r="I223" s="318" t="str">
        <f t="shared" si="69"/>
        <v/>
      </c>
      <c r="J223" s="290" t="str">
        <f t="shared" si="70"/>
        <v/>
      </c>
      <c r="K223" s="265" t="str">
        <f t="shared" si="71"/>
        <v/>
      </c>
      <c r="L223" s="131" t="str">
        <f t="shared" si="72"/>
        <v/>
      </c>
      <c r="M223" s="115" t="str">
        <f t="shared" si="73"/>
        <v/>
      </c>
      <c r="N223" s="267" t="str">
        <f t="shared" si="74"/>
        <v/>
      </c>
      <c r="O223" s="118" t="str">
        <f t="shared" si="75"/>
        <v/>
      </c>
      <c r="P223" s="185" t="str">
        <f t="shared" si="76"/>
        <v/>
      </c>
      <c r="Q223" s="317" t="str">
        <f t="shared" si="77"/>
        <v/>
      </c>
      <c r="R223" s="31"/>
      <c r="S223" s="409">
        <f t="shared" si="78"/>
        <v>0</v>
      </c>
      <c r="T223" s="409">
        <f t="shared" si="79"/>
        <v>0</v>
      </c>
      <c r="U223" s="428"/>
      <c r="V223" s="31"/>
      <c r="W223" s="80"/>
      <c r="X223" s="80"/>
      <c r="Y223" s="80"/>
      <c r="Z223" s="80"/>
      <c r="AA223" s="80"/>
      <c r="AB223" s="31"/>
      <c r="AC223" s="31"/>
      <c r="AD223" s="31"/>
      <c r="AE223" s="31"/>
      <c r="AK223" s="31"/>
      <c r="AL223" s="31"/>
    </row>
    <row r="224" spans="1:38" x14ac:dyDescent="0.25">
      <c r="A224" s="114" t="str">
        <f t="shared" si="62"/>
        <v/>
      </c>
      <c r="B224" s="265" t="str">
        <f t="shared" si="63"/>
        <v/>
      </c>
      <c r="C224" s="864" t="str">
        <f t="shared" si="64"/>
        <v/>
      </c>
      <c r="D224" s="865"/>
      <c r="E224" s="115" t="str">
        <f t="shared" si="65"/>
        <v/>
      </c>
      <c r="F224" s="267" t="str">
        <f t="shared" si="66"/>
        <v/>
      </c>
      <c r="G224" s="116" t="str">
        <f t="shared" si="67"/>
        <v/>
      </c>
      <c r="H224" s="183" t="str">
        <f t="shared" si="68"/>
        <v/>
      </c>
      <c r="I224" s="318" t="str">
        <f t="shared" si="69"/>
        <v/>
      </c>
      <c r="J224" s="290" t="str">
        <f t="shared" si="70"/>
        <v/>
      </c>
      <c r="K224" s="265" t="str">
        <f t="shared" si="71"/>
        <v/>
      </c>
      <c r="L224" s="131" t="str">
        <f t="shared" si="72"/>
        <v/>
      </c>
      <c r="M224" s="115" t="str">
        <f t="shared" si="73"/>
        <v/>
      </c>
      <c r="N224" s="267" t="str">
        <f t="shared" si="74"/>
        <v/>
      </c>
      <c r="O224" s="118" t="str">
        <f t="shared" si="75"/>
        <v/>
      </c>
      <c r="P224" s="185" t="str">
        <f t="shared" si="76"/>
        <v/>
      </c>
      <c r="Q224" s="317" t="str">
        <f t="shared" si="77"/>
        <v/>
      </c>
      <c r="R224" s="31"/>
      <c r="S224" s="409">
        <f t="shared" si="78"/>
        <v>0</v>
      </c>
      <c r="T224" s="409">
        <f t="shared" si="79"/>
        <v>0</v>
      </c>
      <c r="U224" s="428"/>
      <c r="V224" s="31"/>
      <c r="W224" s="80"/>
      <c r="X224" s="80"/>
      <c r="Y224" s="80"/>
      <c r="Z224" s="80"/>
      <c r="AA224" s="80"/>
      <c r="AB224" s="31"/>
      <c r="AC224" s="31"/>
      <c r="AD224" s="31"/>
      <c r="AE224" s="31"/>
      <c r="AK224" s="31"/>
      <c r="AL224" s="31"/>
    </row>
    <row r="225" spans="1:38" x14ac:dyDescent="0.25">
      <c r="A225" s="114" t="str">
        <f t="shared" si="62"/>
        <v/>
      </c>
      <c r="B225" s="265" t="str">
        <f t="shared" si="63"/>
        <v/>
      </c>
      <c r="C225" s="864" t="str">
        <f t="shared" si="64"/>
        <v/>
      </c>
      <c r="D225" s="865"/>
      <c r="E225" s="115" t="str">
        <f t="shared" si="65"/>
        <v/>
      </c>
      <c r="F225" s="267" t="str">
        <f t="shared" si="66"/>
        <v/>
      </c>
      <c r="G225" s="116" t="str">
        <f t="shared" si="67"/>
        <v/>
      </c>
      <c r="H225" s="183" t="str">
        <f t="shared" si="68"/>
        <v/>
      </c>
      <c r="I225" s="318" t="str">
        <f t="shared" si="69"/>
        <v/>
      </c>
      <c r="J225" s="290" t="str">
        <f t="shared" si="70"/>
        <v/>
      </c>
      <c r="K225" s="265" t="str">
        <f t="shared" si="71"/>
        <v/>
      </c>
      <c r="L225" s="131" t="str">
        <f t="shared" si="72"/>
        <v/>
      </c>
      <c r="M225" s="115" t="str">
        <f t="shared" si="73"/>
        <v/>
      </c>
      <c r="N225" s="267" t="str">
        <f t="shared" si="74"/>
        <v/>
      </c>
      <c r="O225" s="118" t="str">
        <f t="shared" si="75"/>
        <v/>
      </c>
      <c r="P225" s="185" t="str">
        <f t="shared" si="76"/>
        <v/>
      </c>
      <c r="Q225" s="317" t="str">
        <f t="shared" si="77"/>
        <v/>
      </c>
      <c r="R225" s="31"/>
      <c r="S225" s="409">
        <f t="shared" si="78"/>
        <v>0</v>
      </c>
      <c r="T225" s="409">
        <f t="shared" si="79"/>
        <v>0</v>
      </c>
      <c r="U225" s="428"/>
      <c r="V225" s="31"/>
      <c r="W225" s="80"/>
      <c r="X225" s="80"/>
      <c r="Y225" s="80"/>
      <c r="Z225" s="80"/>
      <c r="AA225" s="80"/>
      <c r="AB225" s="31"/>
      <c r="AC225" s="31"/>
      <c r="AD225" s="31"/>
      <c r="AE225" s="31"/>
      <c r="AK225" s="31"/>
      <c r="AL225" s="31"/>
    </row>
    <row r="226" spans="1:38" x14ac:dyDescent="0.25">
      <c r="A226" s="114" t="str">
        <f t="shared" si="62"/>
        <v/>
      </c>
      <c r="B226" s="265" t="str">
        <f t="shared" si="63"/>
        <v/>
      </c>
      <c r="C226" s="864" t="str">
        <f t="shared" si="64"/>
        <v/>
      </c>
      <c r="D226" s="865"/>
      <c r="E226" s="115" t="str">
        <f t="shared" si="65"/>
        <v/>
      </c>
      <c r="F226" s="267" t="str">
        <f t="shared" si="66"/>
        <v/>
      </c>
      <c r="G226" s="116" t="str">
        <f t="shared" si="67"/>
        <v/>
      </c>
      <c r="H226" s="183" t="str">
        <f t="shared" si="68"/>
        <v/>
      </c>
      <c r="I226" s="318" t="str">
        <f t="shared" si="69"/>
        <v/>
      </c>
      <c r="J226" s="290" t="str">
        <f t="shared" si="70"/>
        <v/>
      </c>
      <c r="K226" s="265" t="str">
        <f t="shared" si="71"/>
        <v/>
      </c>
      <c r="L226" s="131" t="str">
        <f t="shared" si="72"/>
        <v/>
      </c>
      <c r="M226" s="115" t="str">
        <f t="shared" si="73"/>
        <v/>
      </c>
      <c r="N226" s="267" t="str">
        <f t="shared" si="74"/>
        <v/>
      </c>
      <c r="O226" s="118" t="str">
        <f t="shared" si="75"/>
        <v/>
      </c>
      <c r="P226" s="185" t="str">
        <f t="shared" si="76"/>
        <v/>
      </c>
      <c r="Q226" s="317" t="str">
        <f t="shared" si="77"/>
        <v/>
      </c>
      <c r="R226" s="31"/>
      <c r="S226" s="409">
        <f t="shared" si="78"/>
        <v>0</v>
      </c>
      <c r="T226" s="409">
        <f t="shared" si="79"/>
        <v>0</v>
      </c>
      <c r="U226" s="428"/>
      <c r="V226" s="31"/>
      <c r="W226" s="80"/>
      <c r="X226" s="80"/>
      <c r="Y226" s="80"/>
      <c r="Z226" s="80"/>
      <c r="AA226" s="80"/>
      <c r="AB226" s="31"/>
      <c r="AC226" s="31"/>
      <c r="AD226" s="31"/>
      <c r="AE226" s="31"/>
      <c r="AK226" s="31"/>
      <c r="AL226" s="31"/>
    </row>
    <row r="227" spans="1:38" x14ac:dyDescent="0.25">
      <c r="A227" s="114" t="str">
        <f t="shared" si="62"/>
        <v/>
      </c>
      <c r="B227" s="265" t="str">
        <f t="shared" si="63"/>
        <v/>
      </c>
      <c r="C227" s="864" t="str">
        <f t="shared" si="64"/>
        <v/>
      </c>
      <c r="D227" s="865"/>
      <c r="E227" s="115" t="str">
        <f t="shared" si="65"/>
        <v/>
      </c>
      <c r="F227" s="267" t="str">
        <f t="shared" si="66"/>
        <v/>
      </c>
      <c r="G227" s="116" t="str">
        <f t="shared" si="67"/>
        <v/>
      </c>
      <c r="H227" s="183" t="str">
        <f t="shared" si="68"/>
        <v/>
      </c>
      <c r="I227" s="318" t="str">
        <f t="shared" si="69"/>
        <v/>
      </c>
      <c r="J227" s="290" t="str">
        <f t="shared" si="70"/>
        <v/>
      </c>
      <c r="K227" s="265" t="str">
        <f t="shared" si="71"/>
        <v/>
      </c>
      <c r="L227" s="131" t="str">
        <f t="shared" si="72"/>
        <v/>
      </c>
      <c r="M227" s="115" t="str">
        <f t="shared" si="73"/>
        <v/>
      </c>
      <c r="N227" s="267" t="str">
        <f t="shared" si="74"/>
        <v/>
      </c>
      <c r="O227" s="118" t="str">
        <f t="shared" si="75"/>
        <v/>
      </c>
      <c r="P227" s="185" t="str">
        <f t="shared" si="76"/>
        <v/>
      </c>
      <c r="Q227" s="317" t="str">
        <f t="shared" si="77"/>
        <v/>
      </c>
      <c r="R227" s="31"/>
      <c r="S227" s="409">
        <f t="shared" si="78"/>
        <v>0</v>
      </c>
      <c r="T227" s="409">
        <f t="shared" si="79"/>
        <v>0</v>
      </c>
      <c r="U227" s="428"/>
      <c r="V227" s="31"/>
      <c r="W227" s="80"/>
      <c r="X227" s="80"/>
      <c r="Y227" s="80"/>
      <c r="Z227" s="80"/>
      <c r="AA227" s="80"/>
      <c r="AB227" s="31"/>
      <c r="AC227" s="31"/>
      <c r="AD227" s="31"/>
      <c r="AE227" s="31"/>
      <c r="AK227" s="31"/>
      <c r="AL227" s="31"/>
    </row>
    <row r="228" spans="1:38" x14ac:dyDescent="0.25">
      <c r="A228" s="114" t="str">
        <f t="shared" si="62"/>
        <v/>
      </c>
      <c r="B228" s="265" t="str">
        <f t="shared" si="63"/>
        <v/>
      </c>
      <c r="C228" s="864" t="str">
        <f t="shared" si="64"/>
        <v/>
      </c>
      <c r="D228" s="865"/>
      <c r="E228" s="115" t="str">
        <f t="shared" si="65"/>
        <v/>
      </c>
      <c r="F228" s="267" t="str">
        <f t="shared" si="66"/>
        <v/>
      </c>
      <c r="G228" s="116" t="str">
        <f t="shared" si="67"/>
        <v/>
      </c>
      <c r="H228" s="183" t="str">
        <f t="shared" si="68"/>
        <v/>
      </c>
      <c r="I228" s="585" t="str">
        <f t="shared" si="69"/>
        <v/>
      </c>
      <c r="J228" s="290" t="str">
        <f t="shared" si="70"/>
        <v/>
      </c>
      <c r="K228" s="265" t="str">
        <f t="shared" si="71"/>
        <v/>
      </c>
      <c r="L228" s="131" t="str">
        <f t="shared" si="72"/>
        <v/>
      </c>
      <c r="M228" s="115" t="str">
        <f t="shared" si="73"/>
        <v/>
      </c>
      <c r="N228" s="267" t="str">
        <f t="shared" si="74"/>
        <v/>
      </c>
      <c r="O228" s="118" t="str">
        <f t="shared" si="75"/>
        <v/>
      </c>
      <c r="P228" s="185" t="str">
        <f t="shared" si="76"/>
        <v/>
      </c>
      <c r="Q228" s="317" t="str">
        <f t="shared" si="77"/>
        <v/>
      </c>
      <c r="R228" s="31"/>
      <c r="S228" s="409">
        <f t="shared" si="78"/>
        <v>0</v>
      </c>
      <c r="T228" s="409">
        <f t="shared" si="79"/>
        <v>0</v>
      </c>
      <c r="U228" s="428"/>
      <c r="V228" s="31"/>
      <c r="W228" s="80"/>
      <c r="X228" s="80"/>
      <c r="Y228" s="80"/>
      <c r="Z228" s="80"/>
      <c r="AA228" s="80"/>
      <c r="AB228" s="31"/>
      <c r="AC228" s="31"/>
      <c r="AD228" s="31"/>
      <c r="AE228" s="31"/>
      <c r="AK228" s="31"/>
      <c r="AL228" s="31"/>
    </row>
    <row r="229" spans="1:38" x14ac:dyDescent="0.25">
      <c r="A229" s="122" t="s">
        <v>50</v>
      </c>
      <c r="B229" s="268"/>
      <c r="C229" s="886">
        <f>SUM(C189:C228)</f>
        <v>0</v>
      </c>
      <c r="D229" s="887"/>
      <c r="E229" s="117">
        <f>SUM(E189:E228)</f>
        <v>0</v>
      </c>
      <c r="F229" s="267"/>
      <c r="G229" s="123">
        <f t="shared" ref="G229" si="82">C229+E229</f>
        <v>0</v>
      </c>
      <c r="H229" s="124"/>
      <c r="I229" s="124"/>
      <c r="J229" s="289" t="s">
        <v>46</v>
      </c>
      <c r="K229" s="250"/>
      <c r="L229" s="117">
        <f>SUM(L189:L228)</f>
        <v>0</v>
      </c>
      <c r="M229" s="117">
        <f>SUM(M189:M228)</f>
        <v>0</v>
      </c>
      <c r="N229" s="117"/>
      <c r="O229" s="117">
        <f t="shared" ref="O229" si="83">L229+M229</f>
        <v>0</v>
      </c>
      <c r="P229" s="31"/>
      <c r="Q229" s="31"/>
      <c r="R229" s="31"/>
      <c r="S229" s="416">
        <f>SUM(S189:S228)</f>
        <v>0</v>
      </c>
      <c r="T229" s="416">
        <f>SUM(T189:T228)</f>
        <v>0</v>
      </c>
      <c r="U229" s="429"/>
      <c r="V229" s="31"/>
      <c r="W229" s="80"/>
      <c r="X229" s="80"/>
      <c r="Y229" s="80"/>
      <c r="Z229" s="80"/>
      <c r="AA229" s="80"/>
      <c r="AB229" s="31"/>
      <c r="AC229" s="31"/>
      <c r="AD229" s="31"/>
      <c r="AE229" s="31"/>
      <c r="AF229" s="30"/>
    </row>
    <row r="230" spans="1:38" x14ac:dyDescent="0.25">
      <c r="A230" s="31"/>
      <c r="B230" s="87"/>
      <c r="C230" s="87"/>
      <c r="D230" s="87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80"/>
      <c r="X230" s="80"/>
      <c r="Y230" s="80"/>
      <c r="Z230" s="80"/>
      <c r="AA230" s="80"/>
      <c r="AB230" s="31"/>
      <c r="AC230" s="31"/>
      <c r="AD230" s="31"/>
      <c r="AE230" s="127"/>
      <c r="AF230" s="30"/>
    </row>
    <row r="231" spans="1:38" x14ac:dyDescent="0.25">
      <c r="A231" s="30"/>
      <c r="B231" s="34"/>
      <c r="C231" s="34"/>
      <c r="D231" s="34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84"/>
      <c r="X231" s="84"/>
      <c r="Y231" s="84"/>
      <c r="Z231" s="84"/>
      <c r="AA231" s="84"/>
      <c r="AB231" s="30"/>
      <c r="AC231" s="30"/>
      <c r="AD231" s="30"/>
      <c r="AE231" s="30"/>
      <c r="AF231" s="30"/>
    </row>
    <row r="232" spans="1:38" x14ac:dyDescent="0.25">
      <c r="A232" s="877" t="s">
        <v>0</v>
      </c>
      <c r="B232" s="878"/>
      <c r="C232" s="878"/>
      <c r="D232" s="878"/>
      <c r="E232" s="878"/>
      <c r="F232" s="878"/>
      <c r="G232" s="878"/>
      <c r="H232" s="878"/>
      <c r="I232" s="878"/>
      <c r="J232" s="878"/>
      <c r="K232" s="878"/>
      <c r="L232" s="878"/>
      <c r="M232" s="878"/>
      <c r="N232" s="878"/>
      <c r="O232" s="878"/>
      <c r="P232" s="31"/>
      <c r="Q232" s="31"/>
      <c r="R232" s="99" t="s">
        <v>151</v>
      </c>
      <c r="S232" s="31"/>
      <c r="T232" s="31"/>
      <c r="U232" s="31"/>
      <c r="V232" s="31"/>
      <c r="W232" s="80"/>
      <c r="X232" s="80"/>
      <c r="Y232" s="80"/>
      <c r="Z232" s="80"/>
      <c r="AA232" s="80"/>
      <c r="AB232" s="31"/>
      <c r="AC232" s="31"/>
      <c r="AD232" s="31"/>
      <c r="AE232" s="127"/>
      <c r="AF232" s="30"/>
    </row>
    <row r="233" spans="1:38" x14ac:dyDescent="0.25">
      <c r="A233" s="877" t="s">
        <v>143</v>
      </c>
      <c r="B233" s="878"/>
      <c r="C233" s="878"/>
      <c r="D233" s="878"/>
      <c r="E233" s="878"/>
      <c r="F233" s="878"/>
      <c r="G233" s="878"/>
      <c r="H233" s="878"/>
      <c r="I233" s="878"/>
      <c r="J233" s="878"/>
      <c r="K233" s="878"/>
      <c r="L233" s="878"/>
      <c r="M233" s="878"/>
      <c r="N233" s="878"/>
      <c r="O233" s="878"/>
      <c r="P233" s="31"/>
      <c r="Q233" s="31"/>
      <c r="R233" s="84" t="str">
        <f>$R$69</f>
        <v>Year or</v>
      </c>
      <c r="S233" s="31"/>
      <c r="T233" s="31"/>
      <c r="U233" s="31"/>
      <c r="V233" s="31"/>
      <c r="W233" s="80"/>
      <c r="X233" s="80"/>
      <c r="Y233" s="80"/>
      <c r="Z233" s="80"/>
      <c r="AA233" s="80"/>
      <c r="AB233" s="31"/>
      <c r="AC233" s="31"/>
      <c r="AD233" s="31"/>
      <c r="AE233" s="127"/>
      <c r="AF233" s="30"/>
    </row>
    <row r="234" spans="1:38" x14ac:dyDescent="0.25">
      <c r="A234" s="98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31"/>
      <c r="Q234" s="31"/>
      <c r="R234" s="80" t="str">
        <f>$R$70</f>
        <v>Portion of</v>
      </c>
      <c r="S234" s="31"/>
      <c r="T234" s="31"/>
      <c r="U234" s="31"/>
      <c r="V234" s="31"/>
      <c r="W234" s="80"/>
      <c r="X234" s="80"/>
      <c r="Y234" s="80"/>
      <c r="Z234" s="80"/>
      <c r="AA234" s="80"/>
      <c r="AB234" s="31"/>
      <c r="AC234" s="31"/>
      <c r="AD234" s="31"/>
      <c r="AE234" s="127"/>
      <c r="AF234" s="30"/>
    </row>
    <row r="235" spans="1:38" x14ac:dyDescent="0.25">
      <c r="A235" s="31"/>
      <c r="B235" s="87"/>
      <c r="C235" s="87" t="s">
        <v>6</v>
      </c>
      <c r="D235" s="87"/>
      <c r="E235" s="31"/>
      <c r="F235" s="31"/>
      <c r="G235" s="863" t="str">
        <f>IF(totalyrs&gt;7,IF(E5=0,"",E5),"")</f>
        <v/>
      </c>
      <c r="H235" s="863"/>
      <c r="I235" s="863"/>
      <c r="J235" s="863"/>
      <c r="K235" s="863"/>
      <c r="L235" s="863"/>
      <c r="M235" s="31"/>
      <c r="N235" s="31"/>
      <c r="O235" s="31"/>
      <c r="P235" s="31"/>
      <c r="Q235" s="31"/>
      <c r="R235" s="80" t="str">
        <f>$R$71</f>
        <v>a Year</v>
      </c>
      <c r="S235" s="31"/>
      <c r="T235" s="31"/>
      <c r="U235" s="31"/>
      <c r="V235" s="31"/>
      <c r="W235" s="80"/>
      <c r="X235" s="80"/>
      <c r="Y235" s="80"/>
      <c r="Z235" s="80"/>
      <c r="AA235" s="80"/>
      <c r="AB235" s="31"/>
      <c r="AC235" s="31"/>
      <c r="AD235" s="31"/>
      <c r="AE235" s="127"/>
      <c r="AF235" s="30"/>
    </row>
    <row r="236" spans="1:38" x14ac:dyDescent="0.25">
      <c r="A236" s="31"/>
      <c r="B236" s="87"/>
      <c r="C236" s="87" t="s">
        <v>8</v>
      </c>
      <c r="D236" s="87"/>
      <c r="E236" s="31"/>
      <c r="F236" s="31"/>
      <c r="G236" s="863" t="str">
        <f>IF(totalyrs&gt;7,IF(E6=0,"",E6),"")</f>
        <v/>
      </c>
      <c r="H236" s="863"/>
      <c r="I236" s="863"/>
      <c r="J236" s="863"/>
      <c r="K236" s="863"/>
      <c r="L236" s="863"/>
      <c r="M236" s="31"/>
      <c r="N236" s="31"/>
      <c r="O236" s="31"/>
      <c r="P236" s="31"/>
      <c r="Q236" s="31"/>
      <c r="R236" s="119">
        <f>IF(AND(totalyrs&gt;7,totalyrs&lt;8),totalyrs-7,1)</f>
        <v>1</v>
      </c>
      <c r="S236" s="132" t="s">
        <v>152</v>
      </c>
      <c r="T236" s="31"/>
      <c r="U236" s="31"/>
      <c r="V236" s="31"/>
      <c r="W236" s="80"/>
      <c r="X236" s="80"/>
      <c r="Y236" s="80"/>
      <c r="Z236" s="80"/>
      <c r="AA236" s="80"/>
      <c r="AB236" s="31"/>
      <c r="AC236" s="31"/>
      <c r="AD236" s="31"/>
      <c r="AE236" s="127"/>
      <c r="AF236" s="30"/>
    </row>
    <row r="237" spans="1:38" x14ac:dyDescent="0.25">
      <c r="A237" s="31"/>
      <c r="B237" s="87"/>
      <c r="C237" s="87" t="s">
        <v>122</v>
      </c>
      <c r="D237" s="87"/>
      <c r="E237" s="31"/>
      <c r="F237" s="31"/>
      <c r="G237" s="863" t="str">
        <f>IF(totalyrs&gt;7,IF(E7=0,"",E7),"")</f>
        <v/>
      </c>
      <c r="H237" s="863"/>
      <c r="I237" s="863"/>
      <c r="J237" s="863"/>
      <c r="K237" s="863"/>
      <c r="L237" s="863"/>
      <c r="M237" s="31"/>
      <c r="N237" s="31"/>
      <c r="O237" s="31"/>
      <c r="P237" s="31"/>
      <c r="Q237" s="31"/>
      <c r="R237" s="119">
        <f>IF(AND(totalyrs&gt;8,totalyrs&lt;9),totalyrs-8,1)</f>
        <v>1</v>
      </c>
      <c r="S237" s="120" t="s">
        <v>153</v>
      </c>
      <c r="T237" s="31"/>
      <c r="U237" s="31"/>
      <c r="V237" s="31"/>
      <c r="W237" s="80"/>
      <c r="X237" s="80"/>
      <c r="Y237" s="80"/>
      <c r="Z237" s="80"/>
      <c r="AA237" s="80"/>
      <c r="AB237" s="31"/>
      <c r="AC237" s="31"/>
      <c r="AD237" s="31"/>
      <c r="AE237" s="127"/>
      <c r="AF237" s="30"/>
    </row>
    <row r="238" spans="1:38" x14ac:dyDescent="0.25">
      <c r="A238" s="31"/>
      <c r="B238" s="87"/>
      <c r="C238" s="87" t="s">
        <v>10</v>
      </c>
      <c r="D238" s="87"/>
      <c r="E238" s="31"/>
      <c r="F238" s="31"/>
      <c r="G238" s="863" t="str">
        <f>IF(totalyrs&gt;7,IF(E8=0,"",E8),"")</f>
        <v/>
      </c>
      <c r="H238" s="863"/>
      <c r="I238" s="863"/>
      <c r="J238" s="863"/>
      <c r="K238" s="863"/>
      <c r="L238" s="863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80"/>
      <c r="X238" s="80"/>
      <c r="Y238" s="80"/>
      <c r="Z238" s="80"/>
      <c r="AA238" s="80"/>
      <c r="AB238" s="31"/>
      <c r="AC238" s="31"/>
      <c r="AD238" s="31"/>
      <c r="AE238" s="31"/>
      <c r="AF238" s="30"/>
    </row>
    <row r="239" spans="1:38" x14ac:dyDescent="0.25">
      <c r="A239" s="31"/>
      <c r="B239" s="87"/>
      <c r="C239" s="87"/>
      <c r="D239" s="87"/>
      <c r="E239" s="31"/>
      <c r="F239" s="31"/>
      <c r="G239" s="128"/>
      <c r="H239" s="128"/>
      <c r="I239" s="124"/>
      <c r="J239" s="30"/>
      <c r="K239" s="124"/>
      <c r="L239" s="124"/>
      <c r="M239" s="124"/>
      <c r="N239" s="31"/>
      <c r="O239" s="31"/>
      <c r="P239" s="80"/>
      <c r="Q239" s="80"/>
      <c r="R239" s="31"/>
      <c r="S239" s="410" t="s">
        <v>149</v>
      </c>
      <c r="T239" s="410" t="s">
        <v>150</v>
      </c>
      <c r="U239" s="430"/>
      <c r="V239" s="31"/>
      <c r="W239" s="80"/>
      <c r="X239" s="80"/>
      <c r="Y239" s="80"/>
      <c r="Z239" s="80"/>
      <c r="AA239" s="80"/>
      <c r="AB239" s="31"/>
      <c r="AC239" s="31"/>
      <c r="AD239" s="31"/>
      <c r="AE239" s="31"/>
      <c r="AF239" s="30"/>
    </row>
    <row r="240" spans="1:38" ht="13" x14ac:dyDescent="0.3">
      <c r="A240" s="100"/>
      <c r="B240" s="305" t="s">
        <v>209</v>
      </c>
      <c r="C240" s="830" t="s">
        <v>149</v>
      </c>
      <c r="D240" s="831"/>
      <c r="E240" s="832"/>
      <c r="F240" s="832"/>
      <c r="G240" s="832"/>
      <c r="H240" s="104" t="s">
        <v>109</v>
      </c>
      <c r="I240" s="310" t="s">
        <v>28</v>
      </c>
      <c r="J240" s="284"/>
      <c r="K240" s="309" t="s">
        <v>209</v>
      </c>
      <c r="L240" s="102" t="s">
        <v>150</v>
      </c>
      <c r="M240" s="103"/>
      <c r="N240" s="103"/>
      <c r="O240" s="103"/>
      <c r="P240" s="285" t="s">
        <v>109</v>
      </c>
      <c r="Q240" s="315" t="s">
        <v>28</v>
      </c>
      <c r="S240" s="411" t="s">
        <v>276</v>
      </c>
      <c r="T240" s="411" t="s">
        <v>276</v>
      </c>
      <c r="U240" s="430"/>
      <c r="V240" s="99"/>
      <c r="W240" s="99"/>
      <c r="X240" s="99"/>
      <c r="Y240" s="99"/>
      <c r="Z240" s="99"/>
      <c r="AA240" s="99"/>
      <c r="AB240" s="99"/>
      <c r="AC240" s="99"/>
      <c r="AD240" s="99"/>
      <c r="AE240" s="31"/>
      <c r="AF240" s="30"/>
    </row>
    <row r="241" spans="1:38" ht="13" x14ac:dyDescent="0.3">
      <c r="A241" s="300" t="s">
        <v>226</v>
      </c>
      <c r="B241" s="301" t="s">
        <v>131</v>
      </c>
      <c r="C241" s="821" t="s">
        <v>29</v>
      </c>
      <c r="D241" s="822"/>
      <c r="E241" s="299"/>
      <c r="F241" s="299" t="s">
        <v>228</v>
      </c>
      <c r="G241" s="295"/>
      <c r="H241" s="107" t="s">
        <v>110</v>
      </c>
      <c r="I241" s="301" t="s">
        <v>132</v>
      </c>
      <c r="J241" s="313" t="s">
        <v>226</v>
      </c>
      <c r="K241" s="295" t="s">
        <v>131</v>
      </c>
      <c r="L241" s="301" t="str">
        <f>C241</f>
        <v>Salary</v>
      </c>
      <c r="M241" s="299"/>
      <c r="N241" s="295" t="s">
        <v>228</v>
      </c>
      <c r="O241" s="295"/>
      <c r="P241" s="107" t="s">
        <v>110</v>
      </c>
      <c r="Q241" s="299" t="s">
        <v>132</v>
      </c>
      <c r="S241" s="411" t="s">
        <v>316</v>
      </c>
      <c r="T241" s="411" t="s">
        <v>316</v>
      </c>
      <c r="U241" s="430"/>
      <c r="V241" s="84"/>
      <c r="W241" s="84"/>
      <c r="X241" s="84"/>
      <c r="Y241" s="84"/>
      <c r="Z241" s="84"/>
      <c r="AA241" s="84"/>
      <c r="AB241" s="84"/>
      <c r="AC241" s="84"/>
      <c r="AD241" s="84"/>
      <c r="AE241" s="31"/>
      <c r="AF241" s="30"/>
    </row>
    <row r="242" spans="1:38" ht="13" x14ac:dyDescent="0.3">
      <c r="A242" s="302" t="s">
        <v>225</v>
      </c>
      <c r="B242" s="304" t="s">
        <v>224</v>
      </c>
      <c r="C242" s="847" t="s">
        <v>34</v>
      </c>
      <c r="D242" s="848"/>
      <c r="E242" s="296" t="s">
        <v>30</v>
      </c>
      <c r="F242" s="296" t="s">
        <v>229</v>
      </c>
      <c r="G242" s="296" t="s">
        <v>24</v>
      </c>
      <c r="H242" s="291" t="s">
        <v>33</v>
      </c>
      <c r="I242" s="301" t="s">
        <v>149</v>
      </c>
      <c r="J242" s="314" t="s">
        <v>225</v>
      </c>
      <c r="K242" s="295" t="s">
        <v>224</v>
      </c>
      <c r="L242" s="303" t="str">
        <f>C242</f>
        <v>Requested</v>
      </c>
      <c r="M242" s="296" t="str">
        <f>E242</f>
        <v>Benefits</v>
      </c>
      <c r="N242" s="296" t="s">
        <v>229</v>
      </c>
      <c r="O242" s="296" t="s">
        <v>24</v>
      </c>
      <c r="P242" s="286" t="s">
        <v>33</v>
      </c>
      <c r="Q242" s="312" t="s">
        <v>150</v>
      </c>
      <c r="S242" s="412" t="s">
        <v>301</v>
      </c>
      <c r="T242" s="412" t="s">
        <v>301</v>
      </c>
      <c r="U242" s="430"/>
      <c r="V242" s="80"/>
      <c r="W242" s="80"/>
      <c r="X242" s="80"/>
      <c r="Y242" s="80"/>
      <c r="Z242" s="80"/>
      <c r="AA242" s="80"/>
      <c r="AB242" s="80"/>
      <c r="AC242" s="80"/>
      <c r="AD242" s="80"/>
      <c r="AE242" s="31"/>
      <c r="AF242" s="30"/>
      <c r="AK242" s="31"/>
      <c r="AL242" s="31"/>
    </row>
    <row r="243" spans="1:38" x14ac:dyDescent="0.25">
      <c r="A243" s="114" t="str">
        <f t="shared" ref="A243:A282" si="84">IF(totalyrs&gt;7,IF(A24=0,"",A24),"")</f>
        <v/>
      </c>
      <c r="B243" s="265" t="str">
        <f t="shared" ref="B243:B282" si="85">IFERROR(IF(ROUND(IF(totalyrs&gt;7,((J24*(1+INCREASE)^7)),0),0)=0,"",ROUND(IF(totalyrs&gt;7,((J24*(1+INCREASE)^7)),0),0)),"")</f>
        <v/>
      </c>
      <c r="C243" s="864" t="str">
        <f t="shared" ref="C243:C282" si="86">IFERROR(IF(ROUND(IF(totalyrs&gt;7,IF($F$18="X",(IF(G24*(1+INCREASE)^7&gt;$L$18,(IF(AND(totalyrs&lt;8,MOD(NUMMONTHS,12)&gt;0),((MAXSAL*I243)/12)*MOD(NUMMONTHS,12),MAXSAL*I243)),(G24*I243*yr8percent*(1+INCREASE)^7))),(G24*I243*yr8percent*(1+INCREASE)^7)),0),0)=0,"",ROUND(IF(totalyrs&gt;7,IF($F$18="X",(IF(G24*(1+INCREASE)^7&gt;$L$18,(IF(AND(totalyrs&lt;8,MOD(NUMMONTHS,12)&gt;0),((MAXSAL*I243)/12)*MOD(NUMMONTHS,12),MAXSAL*I243)),(G24*I243*yr8percent*(1+INCREASE)^7))),(G24*I243*yr8percent*(1+INCREASE)^7)),0),0)),"")</f>
        <v/>
      </c>
      <c r="D243" s="865"/>
      <c r="E243" s="115" t="str">
        <f t="shared" ref="E243:E282" si="87">IFERROR(IF(IF(H243=0,0,ROUND(IF(P24="G",(C243*L24)+(R24*1.35),IF(Q24&gt;0,C243*L24,C243*(Year1Weight*VLOOKUP(P24,FringeTable,9,FALSE)+Year2Weight*VLOOKUP(P24,FringeTable,10,FALSE)+Year3Weight*VLOOKUP(P24,FringeTable,11,FALSE)))),0))=0,"",IF(H243=0,0,ROUND(IF(P24="G",(C243*L24)+(R24*1.35),IF(Q24&gt;0,C243*L24,C243*(Year1Weight*VLOOKUP(P24,FringeTable,9,FALSE)+Year2Weight*VLOOKUP(P24,FringeTable,10,FALSE)+Year3Weight*VLOOKUP(P24,FringeTable,11,FALSE)))),0))),"")</f>
        <v/>
      </c>
      <c r="F243" s="279" t="str">
        <f t="shared" ref="F243:F282" si="88">IFERROR(IF(SUM(H243*D24)*C24=0,"",SUM(H243*D24)*C24),"")</f>
        <v/>
      </c>
      <c r="G243" s="116" t="str">
        <f t="shared" ref="G243:G282" si="89">IFERROR(C243+E243,"")</f>
        <v/>
      </c>
      <c r="H243" s="288" t="str">
        <f t="shared" ref="H243:H282" si="90">IF(IF(totalyrs&gt;7,(P189),0)=0,"",IF(totalyrs&gt;7,(P189),0))</f>
        <v/>
      </c>
      <c r="I243" s="318" t="str">
        <f t="shared" ref="I243:I282" si="91">IFERROR(H243*D24/12*C24,"")</f>
        <v/>
      </c>
      <c r="J243" s="290" t="str">
        <f t="shared" ref="J243:J282" si="92">IF(totalyrs&gt;8,IF(A24=0,"",A24),"")</f>
        <v/>
      </c>
      <c r="K243" s="265" t="str">
        <f t="shared" ref="K243:K282" si="93">IFERROR(IF(ROUND(IF(totalyrs&gt;8,((J24*(1+INCREASE)^8)),0),0)=0,"",ROUND(IF(totalyrs&gt;8,((J24*(1+INCREASE)^8)),0),0)),"")</f>
        <v/>
      </c>
      <c r="L243" s="131" t="str">
        <f t="shared" ref="L243:L282" si="94">IFERROR(IF(ROUND(IF(totalyrs&gt;8,IF($F$18="X",(IF(G24*(1+INCREASE)^8&gt;$L$18,(IF(AND(totalyrs&lt;9,MOD(NUMMONTHS,12)&gt;0),((MAXSAL*Q243)/12)*MOD(NUMMONTHS,12),MAXSAL*Q243)),(G24*Q243*yr9percent*(1+INCREASE)^8))),(G24*Q243*yr9percent*(1+INCREASE)^8)),0),0)=0,"",ROUND(IF(totalyrs&gt;8,IF($F$18="X",(IF(G24*(1+INCREASE)^8&gt;$L$18,(IF(AND(totalyrs&lt;9,MOD(NUMMONTHS,12)&gt;0),((MAXSAL*Q243)/12)*MOD(NUMMONTHS,12),MAXSAL*Q243)),(G24*Q243*yr9percent*(1+INCREASE)^8))),(G24*Q243*yr9percent*(1+INCREASE)^8)),0),0)),"")</f>
        <v/>
      </c>
      <c r="M243" s="115" t="str">
        <f t="shared" ref="M243:M282" si="95">IFERROR(IF(IF(P243=0,0,ROUND(IF(P24="G",(L243*L24)+(R24*1.4),IF(Q24&gt;0,L243*L24,L243*(Year1Weight*VLOOKUP(P24,FringeTable,11,FALSE)+Year2Weight*VLOOKUP(P24,FringeTable,12,FALSE)+Year3Weight*VLOOKUP(P24,FringeTable,13,FALSE)))),0))=0,"",IF(P243=0,0,ROUND(IF(P24="G",(L243*L24)+(R24*1.4),IF(Q24&gt;0,L243*L24,L243*(Year1Weight*VLOOKUP(P24,FringeTable,11,FALSE)+Year2Weight*VLOOKUP(P24,FringeTable,12,FALSE)+Year3Weight*VLOOKUP(P24,FringeTable,13,FALSE)))),0))),"")</f>
        <v/>
      </c>
      <c r="N243" s="267" t="str">
        <f t="shared" ref="N243:N282" si="96">IFERROR(IF(SUM(P243*D24)*C24=0,"",SUM(P243*D24)*C24),"")</f>
        <v/>
      </c>
      <c r="O243" s="118" t="str">
        <f t="shared" ref="O243:O282" si="97">IFERROR(L243+M243,"")</f>
        <v/>
      </c>
      <c r="P243" s="292" t="str">
        <f t="shared" ref="P243:P282" si="98">IF(IF(totalyrs&gt;8,(H243),0)=0,"",IF(totalyrs&gt;8,(H243),0))</f>
        <v/>
      </c>
      <c r="Q243" s="317" t="str">
        <f t="shared" ref="Q243:Q282" si="99">IFERROR(P243*D24/12*C24,"")</f>
        <v/>
      </c>
      <c r="S243" s="409">
        <f>IFERROR(IF((E24*$L$17*((1+$L$16)^7))&gt;$L$18,(((E24*$L$17*((1+$L$16)^7))-$L$18)*H243*(1+L24)),0),"")</f>
        <v>0</v>
      </c>
      <c r="T243" s="409">
        <f>IFERROR(IF((E24*$L$17*((1+$L$16)^8))&gt;$L$18,(((E24*$L$17*((1+$L$16)^8))-$L$18)*P243*(1+L24)),0),"")</f>
        <v>0</v>
      </c>
      <c r="U243" s="428"/>
      <c r="V243" s="80"/>
      <c r="W243" s="80"/>
      <c r="X243" s="80"/>
      <c r="Y243" s="80"/>
      <c r="Z243" s="80"/>
      <c r="AA243" s="80"/>
      <c r="AB243" s="80"/>
      <c r="AC243" s="80"/>
      <c r="AD243" s="80"/>
      <c r="AE243" s="31"/>
      <c r="AK243" s="31"/>
      <c r="AL243" s="31"/>
    </row>
    <row r="244" spans="1:38" x14ac:dyDescent="0.25">
      <c r="A244" s="114" t="str">
        <f t="shared" si="84"/>
        <v/>
      </c>
      <c r="B244" s="265" t="str">
        <f t="shared" si="85"/>
        <v/>
      </c>
      <c r="C244" s="864" t="str">
        <f t="shared" si="86"/>
        <v/>
      </c>
      <c r="D244" s="865"/>
      <c r="E244" s="115" t="str">
        <f t="shared" si="87"/>
        <v/>
      </c>
      <c r="F244" s="279" t="str">
        <f t="shared" si="88"/>
        <v/>
      </c>
      <c r="G244" s="116" t="str">
        <f t="shared" si="89"/>
        <v/>
      </c>
      <c r="H244" s="288" t="str">
        <f t="shared" si="90"/>
        <v/>
      </c>
      <c r="I244" s="318" t="str">
        <f t="shared" si="91"/>
        <v/>
      </c>
      <c r="J244" s="290" t="str">
        <f t="shared" si="92"/>
        <v/>
      </c>
      <c r="K244" s="265" t="str">
        <f t="shared" si="93"/>
        <v/>
      </c>
      <c r="L244" s="131" t="str">
        <f t="shared" si="94"/>
        <v/>
      </c>
      <c r="M244" s="115" t="str">
        <f t="shared" si="95"/>
        <v/>
      </c>
      <c r="N244" s="267" t="str">
        <f t="shared" si="96"/>
        <v/>
      </c>
      <c r="O244" s="118" t="str">
        <f t="shared" si="97"/>
        <v/>
      </c>
      <c r="P244" s="292" t="str">
        <f t="shared" si="98"/>
        <v/>
      </c>
      <c r="Q244" s="317" t="str">
        <f t="shared" si="99"/>
        <v/>
      </c>
      <c r="S244" s="409">
        <f t="shared" ref="S244:S282" si="100">IFERROR(IF((E25*$L$17*((1+$L$16)^7))&gt;$L$18,(((E25*$L$17*((1+$L$16)^7))-$L$18)*H244*(1+L25)),0),"")</f>
        <v>0</v>
      </c>
      <c r="T244" s="409">
        <f t="shared" ref="T244:T282" si="101">IFERROR(IF((E25*$L$17*((1+$L$16)^8))&gt;$L$18,(((E25*$L$17*((1+$L$16)^8))-$L$18)*P244*(1+L25)),0),"")</f>
        <v>0</v>
      </c>
      <c r="U244" s="428"/>
      <c r="V244" s="132"/>
      <c r="W244" s="530"/>
      <c r="X244" s="530"/>
      <c r="Y244" s="530"/>
      <c r="Z244" s="530"/>
      <c r="AA244" s="530"/>
      <c r="AB244" s="132"/>
      <c r="AC244" s="132"/>
      <c r="AD244" s="132"/>
      <c r="AK244" s="31"/>
      <c r="AL244" s="31"/>
    </row>
    <row r="245" spans="1:38" x14ac:dyDescent="0.25">
      <c r="A245" s="114" t="str">
        <f t="shared" si="84"/>
        <v/>
      </c>
      <c r="B245" s="265" t="str">
        <f t="shared" si="85"/>
        <v/>
      </c>
      <c r="C245" s="864" t="str">
        <f t="shared" si="86"/>
        <v/>
      </c>
      <c r="D245" s="865"/>
      <c r="E245" s="115" t="str">
        <f t="shared" si="87"/>
        <v/>
      </c>
      <c r="F245" s="279" t="str">
        <f t="shared" si="88"/>
        <v/>
      </c>
      <c r="G245" s="116" t="str">
        <f t="shared" si="89"/>
        <v/>
      </c>
      <c r="H245" s="288" t="str">
        <f t="shared" si="90"/>
        <v/>
      </c>
      <c r="I245" s="318" t="str">
        <f t="shared" si="91"/>
        <v/>
      </c>
      <c r="J245" s="290" t="str">
        <f t="shared" si="92"/>
        <v/>
      </c>
      <c r="K245" s="265" t="str">
        <f t="shared" si="93"/>
        <v/>
      </c>
      <c r="L245" s="131" t="str">
        <f t="shared" si="94"/>
        <v/>
      </c>
      <c r="M245" s="115" t="str">
        <f t="shared" si="95"/>
        <v/>
      </c>
      <c r="N245" s="267" t="str">
        <f t="shared" si="96"/>
        <v/>
      </c>
      <c r="O245" s="118" t="str">
        <f t="shared" si="97"/>
        <v/>
      </c>
      <c r="P245" s="292" t="str">
        <f t="shared" si="98"/>
        <v/>
      </c>
      <c r="Q245" s="317" t="str">
        <f t="shared" si="99"/>
        <v/>
      </c>
      <c r="S245" s="409">
        <f t="shared" si="100"/>
        <v>0</v>
      </c>
      <c r="T245" s="409">
        <f t="shared" si="101"/>
        <v>0</v>
      </c>
      <c r="U245" s="428"/>
      <c r="V245" s="120"/>
      <c r="W245" s="529"/>
      <c r="X245" s="529"/>
      <c r="Y245" s="529"/>
      <c r="Z245" s="529"/>
      <c r="AA245" s="529"/>
      <c r="AB245" s="120"/>
      <c r="AC245" s="120"/>
      <c r="AD245" s="120"/>
      <c r="AK245" s="31"/>
      <c r="AL245" s="31"/>
    </row>
    <row r="246" spans="1:38" x14ac:dyDescent="0.25">
      <c r="A246" s="114" t="str">
        <f t="shared" si="84"/>
        <v/>
      </c>
      <c r="B246" s="265" t="str">
        <f t="shared" si="85"/>
        <v/>
      </c>
      <c r="C246" s="864" t="str">
        <f t="shared" si="86"/>
        <v/>
      </c>
      <c r="D246" s="865"/>
      <c r="E246" s="115" t="str">
        <f t="shared" si="87"/>
        <v/>
      </c>
      <c r="F246" s="279" t="str">
        <f t="shared" si="88"/>
        <v/>
      </c>
      <c r="G246" s="116" t="str">
        <f t="shared" si="89"/>
        <v/>
      </c>
      <c r="H246" s="288" t="str">
        <f t="shared" si="90"/>
        <v/>
      </c>
      <c r="I246" s="318" t="str">
        <f t="shared" si="91"/>
        <v/>
      </c>
      <c r="J246" s="290" t="str">
        <f t="shared" si="92"/>
        <v/>
      </c>
      <c r="K246" s="265" t="str">
        <f t="shared" si="93"/>
        <v/>
      </c>
      <c r="L246" s="131" t="str">
        <f t="shared" si="94"/>
        <v/>
      </c>
      <c r="M246" s="115" t="str">
        <f t="shared" si="95"/>
        <v/>
      </c>
      <c r="N246" s="267" t="str">
        <f t="shared" si="96"/>
        <v/>
      </c>
      <c r="O246" s="118" t="str">
        <f t="shared" si="97"/>
        <v/>
      </c>
      <c r="P246" s="292" t="str">
        <f t="shared" si="98"/>
        <v/>
      </c>
      <c r="Q246" s="317" t="str">
        <f t="shared" si="99"/>
        <v/>
      </c>
      <c r="R246" s="80"/>
      <c r="S246" s="409">
        <f t="shared" si="100"/>
        <v>0</v>
      </c>
      <c r="T246" s="409">
        <f t="shared" si="101"/>
        <v>0</v>
      </c>
      <c r="U246" s="428"/>
      <c r="V246" s="80"/>
      <c r="W246" s="80"/>
      <c r="X246" s="80"/>
      <c r="Y246" s="80"/>
      <c r="Z246" s="80"/>
      <c r="AA246" s="80"/>
      <c r="AB246" s="80"/>
      <c r="AC246" s="80"/>
      <c r="AD246" s="80"/>
      <c r="AE246" s="31"/>
      <c r="AK246" s="31"/>
      <c r="AL246" s="31"/>
    </row>
    <row r="247" spans="1:38" x14ac:dyDescent="0.25">
      <c r="A247" s="114" t="str">
        <f t="shared" ref="A247:A253" si="102">IF(totalyrs&gt;7,IF(A28=0,"",A28),"")</f>
        <v/>
      </c>
      <c r="B247" s="265" t="str">
        <f t="shared" si="85"/>
        <v/>
      </c>
      <c r="C247" s="864" t="str">
        <f t="shared" si="86"/>
        <v/>
      </c>
      <c r="D247" s="865"/>
      <c r="E247" s="115" t="str">
        <f t="shared" si="87"/>
        <v/>
      </c>
      <c r="F247" s="279" t="str">
        <f t="shared" si="88"/>
        <v/>
      </c>
      <c r="G247" s="116" t="str">
        <f t="shared" si="89"/>
        <v/>
      </c>
      <c r="H247" s="288" t="str">
        <f t="shared" si="90"/>
        <v/>
      </c>
      <c r="I247" s="318" t="str">
        <f t="shared" si="91"/>
        <v/>
      </c>
      <c r="J247" s="290" t="str">
        <f t="shared" ref="J247:J253" si="103">IF(totalyrs&gt;8,IF(A28=0,"",A28),"")</f>
        <v/>
      </c>
      <c r="K247" s="265" t="str">
        <f t="shared" si="93"/>
        <v/>
      </c>
      <c r="L247" s="131" t="str">
        <f t="shared" si="94"/>
        <v/>
      </c>
      <c r="M247" s="115" t="str">
        <f t="shared" si="95"/>
        <v/>
      </c>
      <c r="N247" s="267" t="str">
        <f t="shared" si="96"/>
        <v/>
      </c>
      <c r="O247" s="118" t="str">
        <f t="shared" si="97"/>
        <v/>
      </c>
      <c r="P247" s="292" t="str">
        <f t="shared" si="98"/>
        <v/>
      </c>
      <c r="Q247" s="317" t="str">
        <f t="shared" si="99"/>
        <v/>
      </c>
      <c r="R247" s="80"/>
      <c r="S247" s="409">
        <f t="shared" si="100"/>
        <v>0</v>
      </c>
      <c r="T247" s="409">
        <f t="shared" si="101"/>
        <v>0</v>
      </c>
      <c r="U247" s="428"/>
      <c r="V247" s="80"/>
      <c r="W247" s="80"/>
      <c r="X247" s="80"/>
      <c r="Y247" s="80"/>
      <c r="Z247" s="80"/>
      <c r="AA247" s="80"/>
      <c r="AB247" s="80"/>
      <c r="AC247" s="80"/>
      <c r="AD247" s="80"/>
      <c r="AE247" s="31"/>
      <c r="AK247" s="31"/>
      <c r="AL247" s="31"/>
    </row>
    <row r="248" spans="1:38" x14ac:dyDescent="0.25">
      <c r="A248" s="114" t="str">
        <f t="shared" si="102"/>
        <v/>
      </c>
      <c r="B248" s="265" t="str">
        <f t="shared" si="85"/>
        <v/>
      </c>
      <c r="C248" s="864" t="str">
        <f t="shared" si="86"/>
        <v/>
      </c>
      <c r="D248" s="865"/>
      <c r="E248" s="115" t="str">
        <f t="shared" si="87"/>
        <v/>
      </c>
      <c r="F248" s="279" t="str">
        <f t="shared" si="88"/>
        <v/>
      </c>
      <c r="G248" s="116" t="str">
        <f t="shared" si="89"/>
        <v/>
      </c>
      <c r="H248" s="288" t="str">
        <f t="shared" si="90"/>
        <v/>
      </c>
      <c r="I248" s="318" t="str">
        <f t="shared" si="91"/>
        <v/>
      </c>
      <c r="J248" s="290" t="str">
        <f t="shared" si="103"/>
        <v/>
      </c>
      <c r="K248" s="265" t="str">
        <f t="shared" si="93"/>
        <v/>
      </c>
      <c r="L248" s="131" t="str">
        <f t="shared" si="94"/>
        <v/>
      </c>
      <c r="M248" s="115" t="str">
        <f t="shared" si="95"/>
        <v/>
      </c>
      <c r="N248" s="267" t="str">
        <f t="shared" si="96"/>
        <v/>
      </c>
      <c r="O248" s="118" t="str">
        <f t="shared" si="97"/>
        <v/>
      </c>
      <c r="P248" s="292" t="str">
        <f t="shared" si="98"/>
        <v/>
      </c>
      <c r="Q248" s="317" t="str">
        <f t="shared" si="99"/>
        <v/>
      </c>
      <c r="R248" s="80"/>
      <c r="S248" s="409">
        <f t="shared" si="100"/>
        <v>0</v>
      </c>
      <c r="T248" s="409">
        <f t="shared" si="101"/>
        <v>0</v>
      </c>
      <c r="U248" s="428"/>
      <c r="V248" s="80"/>
      <c r="W248" s="80"/>
      <c r="X248" s="80"/>
      <c r="Y248" s="80"/>
      <c r="Z248" s="80"/>
      <c r="AA248" s="80"/>
      <c r="AB248" s="80"/>
      <c r="AC248" s="80"/>
      <c r="AD248" s="80"/>
      <c r="AE248" s="31"/>
      <c r="AK248" s="31"/>
      <c r="AL248" s="31"/>
    </row>
    <row r="249" spans="1:38" x14ac:dyDescent="0.25">
      <c r="A249" s="114" t="str">
        <f t="shared" si="102"/>
        <v/>
      </c>
      <c r="B249" s="265" t="str">
        <f t="shared" si="85"/>
        <v/>
      </c>
      <c r="C249" s="864" t="str">
        <f t="shared" si="86"/>
        <v/>
      </c>
      <c r="D249" s="865"/>
      <c r="E249" s="115" t="str">
        <f t="shared" si="87"/>
        <v/>
      </c>
      <c r="F249" s="279" t="str">
        <f t="shared" si="88"/>
        <v/>
      </c>
      <c r="G249" s="116" t="str">
        <f t="shared" si="89"/>
        <v/>
      </c>
      <c r="H249" s="288" t="str">
        <f t="shared" si="90"/>
        <v/>
      </c>
      <c r="I249" s="318" t="str">
        <f t="shared" si="91"/>
        <v/>
      </c>
      <c r="J249" s="290" t="str">
        <f t="shared" si="103"/>
        <v/>
      </c>
      <c r="K249" s="265" t="str">
        <f t="shared" si="93"/>
        <v/>
      </c>
      <c r="L249" s="131" t="str">
        <f t="shared" si="94"/>
        <v/>
      </c>
      <c r="M249" s="115" t="str">
        <f t="shared" si="95"/>
        <v/>
      </c>
      <c r="N249" s="267" t="str">
        <f t="shared" si="96"/>
        <v/>
      </c>
      <c r="O249" s="118" t="str">
        <f t="shared" si="97"/>
        <v/>
      </c>
      <c r="P249" s="292" t="str">
        <f t="shared" si="98"/>
        <v/>
      </c>
      <c r="Q249" s="317" t="str">
        <f t="shared" si="99"/>
        <v/>
      </c>
      <c r="R249" s="80"/>
      <c r="S249" s="409">
        <f t="shared" si="100"/>
        <v>0</v>
      </c>
      <c r="T249" s="409">
        <f t="shared" si="101"/>
        <v>0</v>
      </c>
      <c r="U249" s="428"/>
      <c r="V249" s="80"/>
      <c r="W249" s="80"/>
      <c r="X249" s="80"/>
      <c r="Y249" s="80"/>
      <c r="Z249" s="80"/>
      <c r="AA249" s="80"/>
      <c r="AB249" s="80"/>
      <c r="AC249" s="80"/>
      <c r="AD249" s="80"/>
      <c r="AE249" s="31"/>
      <c r="AK249" s="31"/>
      <c r="AL249" s="31"/>
    </row>
    <row r="250" spans="1:38" x14ac:dyDescent="0.25">
      <c r="A250" s="114" t="str">
        <f t="shared" si="102"/>
        <v/>
      </c>
      <c r="B250" s="265" t="str">
        <f t="shared" si="85"/>
        <v/>
      </c>
      <c r="C250" s="864" t="str">
        <f t="shared" si="86"/>
        <v/>
      </c>
      <c r="D250" s="865"/>
      <c r="E250" s="115" t="str">
        <f t="shared" si="87"/>
        <v/>
      </c>
      <c r="F250" s="279" t="str">
        <f t="shared" si="88"/>
        <v/>
      </c>
      <c r="G250" s="116" t="str">
        <f t="shared" si="89"/>
        <v/>
      </c>
      <c r="H250" s="288" t="str">
        <f t="shared" si="90"/>
        <v/>
      </c>
      <c r="I250" s="318" t="str">
        <f t="shared" si="91"/>
        <v/>
      </c>
      <c r="J250" s="290" t="str">
        <f t="shared" si="103"/>
        <v/>
      </c>
      <c r="K250" s="265" t="str">
        <f t="shared" si="93"/>
        <v/>
      </c>
      <c r="L250" s="131" t="str">
        <f t="shared" si="94"/>
        <v/>
      </c>
      <c r="M250" s="115" t="str">
        <f t="shared" si="95"/>
        <v/>
      </c>
      <c r="N250" s="267" t="str">
        <f t="shared" si="96"/>
        <v/>
      </c>
      <c r="O250" s="118" t="str">
        <f t="shared" si="97"/>
        <v/>
      </c>
      <c r="P250" s="292" t="str">
        <f t="shared" si="98"/>
        <v/>
      </c>
      <c r="Q250" s="317" t="str">
        <f t="shared" si="99"/>
        <v/>
      </c>
      <c r="R250" s="80"/>
      <c r="S250" s="409">
        <f t="shared" si="100"/>
        <v>0</v>
      </c>
      <c r="T250" s="409">
        <f t="shared" si="101"/>
        <v>0</v>
      </c>
      <c r="U250" s="428"/>
      <c r="V250" s="80"/>
      <c r="W250" s="80"/>
      <c r="X250" s="80"/>
      <c r="Y250" s="80"/>
      <c r="Z250" s="80"/>
      <c r="AA250" s="80"/>
      <c r="AB250" s="80"/>
      <c r="AC250" s="80"/>
      <c r="AD250" s="80"/>
      <c r="AE250" s="31"/>
      <c r="AK250" s="31"/>
      <c r="AL250" s="31"/>
    </row>
    <row r="251" spans="1:38" x14ac:dyDescent="0.25">
      <c r="A251" s="114" t="str">
        <f t="shared" si="102"/>
        <v/>
      </c>
      <c r="B251" s="265" t="str">
        <f t="shared" si="85"/>
        <v/>
      </c>
      <c r="C251" s="864" t="str">
        <f t="shared" si="86"/>
        <v/>
      </c>
      <c r="D251" s="865"/>
      <c r="E251" s="115" t="str">
        <f t="shared" si="87"/>
        <v/>
      </c>
      <c r="F251" s="279" t="str">
        <f t="shared" si="88"/>
        <v/>
      </c>
      <c r="G251" s="116" t="str">
        <f t="shared" si="89"/>
        <v/>
      </c>
      <c r="H251" s="288" t="str">
        <f t="shared" si="90"/>
        <v/>
      </c>
      <c r="I251" s="318" t="str">
        <f t="shared" si="91"/>
        <v/>
      </c>
      <c r="J251" s="290" t="str">
        <f t="shared" si="103"/>
        <v/>
      </c>
      <c r="K251" s="265" t="str">
        <f t="shared" si="93"/>
        <v/>
      </c>
      <c r="L251" s="131" t="str">
        <f t="shared" si="94"/>
        <v/>
      </c>
      <c r="M251" s="115" t="str">
        <f t="shared" si="95"/>
        <v/>
      </c>
      <c r="N251" s="267" t="str">
        <f t="shared" si="96"/>
        <v/>
      </c>
      <c r="O251" s="118" t="str">
        <f t="shared" si="97"/>
        <v/>
      </c>
      <c r="P251" s="292" t="str">
        <f t="shared" si="98"/>
        <v/>
      </c>
      <c r="Q251" s="317" t="str">
        <f t="shared" si="99"/>
        <v/>
      </c>
      <c r="R251" s="80"/>
      <c r="S251" s="409">
        <f t="shared" si="100"/>
        <v>0</v>
      </c>
      <c r="T251" s="409">
        <f t="shared" si="101"/>
        <v>0</v>
      </c>
      <c r="U251" s="428"/>
      <c r="V251" s="80"/>
      <c r="W251" s="80"/>
      <c r="X251" s="80"/>
      <c r="Y251" s="80"/>
      <c r="Z251" s="80"/>
      <c r="AA251" s="80"/>
      <c r="AB251" s="80"/>
      <c r="AC251" s="80"/>
      <c r="AD251" s="80"/>
      <c r="AE251" s="31"/>
      <c r="AK251" s="31"/>
      <c r="AL251" s="31"/>
    </row>
    <row r="252" spans="1:38" x14ac:dyDescent="0.25">
      <c r="A252" s="114" t="str">
        <f t="shared" si="102"/>
        <v/>
      </c>
      <c r="B252" s="265" t="str">
        <f t="shared" si="85"/>
        <v/>
      </c>
      <c r="C252" s="864" t="str">
        <f t="shared" si="86"/>
        <v/>
      </c>
      <c r="D252" s="865"/>
      <c r="E252" s="115" t="str">
        <f t="shared" si="87"/>
        <v/>
      </c>
      <c r="F252" s="279" t="str">
        <f t="shared" si="88"/>
        <v/>
      </c>
      <c r="G252" s="116" t="str">
        <f t="shared" si="89"/>
        <v/>
      </c>
      <c r="H252" s="288" t="str">
        <f t="shared" si="90"/>
        <v/>
      </c>
      <c r="I252" s="318" t="str">
        <f t="shared" si="91"/>
        <v/>
      </c>
      <c r="J252" s="290" t="str">
        <f t="shared" si="103"/>
        <v/>
      </c>
      <c r="K252" s="265" t="str">
        <f t="shared" si="93"/>
        <v/>
      </c>
      <c r="L252" s="131" t="str">
        <f t="shared" si="94"/>
        <v/>
      </c>
      <c r="M252" s="115" t="str">
        <f t="shared" si="95"/>
        <v/>
      </c>
      <c r="N252" s="267" t="str">
        <f t="shared" si="96"/>
        <v/>
      </c>
      <c r="O252" s="118" t="str">
        <f t="shared" si="97"/>
        <v/>
      </c>
      <c r="P252" s="292" t="str">
        <f t="shared" si="98"/>
        <v/>
      </c>
      <c r="Q252" s="317" t="str">
        <f t="shared" si="99"/>
        <v/>
      </c>
      <c r="R252" s="80"/>
      <c r="S252" s="409">
        <f t="shared" si="100"/>
        <v>0</v>
      </c>
      <c r="T252" s="409">
        <f t="shared" si="101"/>
        <v>0</v>
      </c>
      <c r="U252" s="428"/>
      <c r="V252" s="80"/>
      <c r="W252" s="80"/>
      <c r="X252" s="80"/>
      <c r="Y252" s="80"/>
      <c r="Z252" s="80"/>
      <c r="AA252" s="80"/>
      <c r="AB252" s="80"/>
      <c r="AC252" s="80"/>
      <c r="AD252" s="80"/>
      <c r="AE252" s="31"/>
      <c r="AK252" s="31"/>
      <c r="AL252" s="31"/>
    </row>
    <row r="253" spans="1:38" x14ac:dyDescent="0.25">
      <c r="A253" s="114" t="str">
        <f t="shared" si="102"/>
        <v/>
      </c>
      <c r="B253" s="265" t="str">
        <f t="shared" si="85"/>
        <v/>
      </c>
      <c r="C253" s="864" t="str">
        <f t="shared" si="86"/>
        <v/>
      </c>
      <c r="D253" s="865"/>
      <c r="E253" s="115" t="str">
        <f t="shared" si="87"/>
        <v/>
      </c>
      <c r="F253" s="279" t="str">
        <f t="shared" si="88"/>
        <v/>
      </c>
      <c r="G253" s="116" t="str">
        <f t="shared" si="89"/>
        <v/>
      </c>
      <c r="H253" s="288" t="str">
        <f t="shared" si="90"/>
        <v/>
      </c>
      <c r="I253" s="318" t="str">
        <f t="shared" si="91"/>
        <v/>
      </c>
      <c r="J253" s="290" t="str">
        <f t="shared" si="103"/>
        <v/>
      </c>
      <c r="K253" s="265" t="str">
        <f t="shared" si="93"/>
        <v/>
      </c>
      <c r="L253" s="131" t="str">
        <f t="shared" si="94"/>
        <v/>
      </c>
      <c r="M253" s="115" t="str">
        <f t="shared" si="95"/>
        <v/>
      </c>
      <c r="N253" s="267" t="str">
        <f t="shared" si="96"/>
        <v/>
      </c>
      <c r="O253" s="118" t="str">
        <f t="shared" si="97"/>
        <v/>
      </c>
      <c r="P253" s="292" t="str">
        <f t="shared" si="98"/>
        <v/>
      </c>
      <c r="Q253" s="317" t="str">
        <f t="shared" si="99"/>
        <v/>
      </c>
      <c r="R253" s="80"/>
      <c r="S253" s="409">
        <f t="shared" si="100"/>
        <v>0</v>
      </c>
      <c r="T253" s="409">
        <f t="shared" si="101"/>
        <v>0</v>
      </c>
      <c r="U253" s="428"/>
      <c r="V253" s="80"/>
      <c r="W253" s="80"/>
      <c r="X253" s="80"/>
      <c r="Y253" s="80"/>
      <c r="Z253" s="80"/>
      <c r="AA253" s="80"/>
      <c r="AB253" s="80"/>
      <c r="AC253" s="80"/>
      <c r="AD253" s="80"/>
      <c r="AE253" s="31"/>
      <c r="AK253" s="31"/>
      <c r="AL253" s="31"/>
    </row>
    <row r="254" spans="1:38" x14ac:dyDescent="0.25">
      <c r="A254" s="114" t="str">
        <f t="shared" si="84"/>
        <v/>
      </c>
      <c r="B254" s="265" t="str">
        <f t="shared" si="85"/>
        <v/>
      </c>
      <c r="C254" s="864" t="str">
        <f t="shared" si="86"/>
        <v/>
      </c>
      <c r="D254" s="865"/>
      <c r="E254" s="115" t="str">
        <f t="shared" si="87"/>
        <v/>
      </c>
      <c r="F254" s="279" t="str">
        <f t="shared" si="88"/>
        <v/>
      </c>
      <c r="G254" s="116" t="str">
        <f t="shared" si="89"/>
        <v/>
      </c>
      <c r="H254" s="288" t="str">
        <f t="shared" si="90"/>
        <v/>
      </c>
      <c r="I254" s="318" t="str">
        <f t="shared" si="91"/>
        <v/>
      </c>
      <c r="J254" s="290" t="str">
        <f t="shared" si="92"/>
        <v/>
      </c>
      <c r="K254" s="265" t="str">
        <f t="shared" si="93"/>
        <v/>
      </c>
      <c r="L254" s="131" t="str">
        <f t="shared" si="94"/>
        <v/>
      </c>
      <c r="M254" s="115" t="str">
        <f t="shared" si="95"/>
        <v/>
      </c>
      <c r="N254" s="267" t="str">
        <f t="shared" si="96"/>
        <v/>
      </c>
      <c r="O254" s="118" t="str">
        <f t="shared" si="97"/>
        <v/>
      </c>
      <c r="P254" s="292" t="str">
        <f t="shared" si="98"/>
        <v/>
      </c>
      <c r="Q254" s="317" t="str">
        <f t="shared" si="99"/>
        <v/>
      </c>
      <c r="R254" s="30"/>
      <c r="S254" s="409">
        <f t="shared" si="100"/>
        <v>0</v>
      </c>
      <c r="T254" s="409">
        <f t="shared" si="101"/>
        <v>0</v>
      </c>
      <c r="U254" s="428"/>
      <c r="V254" s="30"/>
      <c r="W254" s="84"/>
      <c r="X254" s="84"/>
      <c r="Y254" s="84"/>
      <c r="Z254" s="84"/>
      <c r="AA254" s="84"/>
      <c r="AB254" s="30"/>
      <c r="AC254" s="30"/>
      <c r="AD254" s="30"/>
      <c r="AE254" s="30"/>
      <c r="AK254" s="31"/>
      <c r="AL254" s="31"/>
    </row>
    <row r="255" spans="1:38" x14ac:dyDescent="0.25">
      <c r="A255" s="114" t="str">
        <f t="shared" si="84"/>
        <v/>
      </c>
      <c r="B255" s="265" t="str">
        <f t="shared" si="85"/>
        <v/>
      </c>
      <c r="C255" s="864" t="str">
        <f t="shared" si="86"/>
        <v/>
      </c>
      <c r="D255" s="865"/>
      <c r="E255" s="115" t="str">
        <f t="shared" si="87"/>
        <v/>
      </c>
      <c r="F255" s="279" t="str">
        <f t="shared" si="88"/>
        <v/>
      </c>
      <c r="G255" s="116" t="str">
        <f t="shared" si="89"/>
        <v/>
      </c>
      <c r="H255" s="288" t="str">
        <f t="shared" si="90"/>
        <v/>
      </c>
      <c r="I255" s="318" t="str">
        <f t="shared" si="91"/>
        <v/>
      </c>
      <c r="J255" s="290" t="str">
        <f t="shared" si="92"/>
        <v/>
      </c>
      <c r="K255" s="265" t="str">
        <f t="shared" si="93"/>
        <v/>
      </c>
      <c r="L255" s="131" t="str">
        <f t="shared" si="94"/>
        <v/>
      </c>
      <c r="M255" s="115" t="str">
        <f t="shared" si="95"/>
        <v/>
      </c>
      <c r="N255" s="267" t="str">
        <f t="shared" si="96"/>
        <v/>
      </c>
      <c r="O255" s="118" t="str">
        <f t="shared" si="97"/>
        <v/>
      </c>
      <c r="P255" s="292" t="str">
        <f t="shared" si="98"/>
        <v/>
      </c>
      <c r="Q255" s="317" t="str">
        <f t="shared" si="99"/>
        <v/>
      </c>
      <c r="R255" s="30"/>
      <c r="S255" s="409">
        <f t="shared" si="100"/>
        <v>0</v>
      </c>
      <c r="T255" s="409">
        <f t="shared" si="101"/>
        <v>0</v>
      </c>
      <c r="U255" s="428"/>
      <c r="V255" s="30"/>
      <c r="W255" s="84"/>
      <c r="X255" s="84"/>
      <c r="Y255" s="84"/>
      <c r="Z255" s="84"/>
      <c r="AA255" s="84"/>
      <c r="AB255" s="30"/>
      <c r="AC255" s="30"/>
      <c r="AD255" s="30"/>
      <c r="AE255" s="30"/>
      <c r="AK255" s="31"/>
      <c r="AL255" s="31"/>
    </row>
    <row r="256" spans="1:38" x14ac:dyDescent="0.25">
      <c r="A256" s="114" t="str">
        <f t="shared" si="84"/>
        <v/>
      </c>
      <c r="B256" s="265" t="str">
        <f t="shared" si="85"/>
        <v/>
      </c>
      <c r="C256" s="864" t="str">
        <f t="shared" si="86"/>
        <v/>
      </c>
      <c r="D256" s="865"/>
      <c r="E256" s="115" t="str">
        <f t="shared" si="87"/>
        <v/>
      </c>
      <c r="F256" s="279" t="str">
        <f t="shared" si="88"/>
        <v/>
      </c>
      <c r="G256" s="116" t="str">
        <f t="shared" si="89"/>
        <v/>
      </c>
      <c r="H256" s="288" t="str">
        <f t="shared" si="90"/>
        <v/>
      </c>
      <c r="I256" s="318" t="str">
        <f t="shared" si="91"/>
        <v/>
      </c>
      <c r="J256" s="290" t="str">
        <f t="shared" si="92"/>
        <v/>
      </c>
      <c r="K256" s="265" t="str">
        <f t="shared" si="93"/>
        <v/>
      </c>
      <c r="L256" s="131" t="str">
        <f t="shared" si="94"/>
        <v/>
      </c>
      <c r="M256" s="115" t="str">
        <f t="shared" si="95"/>
        <v/>
      </c>
      <c r="N256" s="267" t="str">
        <f t="shared" si="96"/>
        <v/>
      </c>
      <c r="O256" s="118" t="str">
        <f t="shared" si="97"/>
        <v/>
      </c>
      <c r="P256" s="292" t="str">
        <f t="shared" si="98"/>
        <v/>
      </c>
      <c r="Q256" s="317" t="str">
        <f t="shared" si="99"/>
        <v/>
      </c>
      <c r="R256" s="30"/>
      <c r="S256" s="409">
        <f t="shared" si="100"/>
        <v>0</v>
      </c>
      <c r="T256" s="409">
        <f t="shared" si="101"/>
        <v>0</v>
      </c>
      <c r="U256" s="428"/>
      <c r="V256" s="30"/>
      <c r="W256" s="84"/>
      <c r="X256" s="84"/>
      <c r="Y256" s="84"/>
      <c r="Z256" s="84"/>
      <c r="AA256" s="84"/>
      <c r="AB256" s="30"/>
      <c r="AC256" s="30"/>
      <c r="AD256" s="30"/>
      <c r="AE256" s="30"/>
      <c r="AK256" s="31"/>
      <c r="AL256" s="31"/>
    </row>
    <row r="257" spans="1:38" x14ac:dyDescent="0.25">
      <c r="A257" s="114" t="str">
        <f t="shared" si="84"/>
        <v/>
      </c>
      <c r="B257" s="265" t="str">
        <f t="shared" si="85"/>
        <v/>
      </c>
      <c r="C257" s="864" t="str">
        <f t="shared" si="86"/>
        <v/>
      </c>
      <c r="D257" s="865"/>
      <c r="E257" s="115" t="str">
        <f t="shared" si="87"/>
        <v/>
      </c>
      <c r="F257" s="279" t="str">
        <f t="shared" si="88"/>
        <v/>
      </c>
      <c r="G257" s="116" t="str">
        <f t="shared" si="89"/>
        <v/>
      </c>
      <c r="H257" s="288" t="str">
        <f t="shared" si="90"/>
        <v/>
      </c>
      <c r="I257" s="318" t="str">
        <f t="shared" si="91"/>
        <v/>
      </c>
      <c r="J257" s="290" t="str">
        <f t="shared" si="92"/>
        <v/>
      </c>
      <c r="K257" s="265" t="str">
        <f t="shared" si="93"/>
        <v/>
      </c>
      <c r="L257" s="131" t="str">
        <f t="shared" si="94"/>
        <v/>
      </c>
      <c r="M257" s="115" t="str">
        <f t="shared" si="95"/>
        <v/>
      </c>
      <c r="N257" s="267" t="str">
        <f t="shared" si="96"/>
        <v/>
      </c>
      <c r="O257" s="118" t="str">
        <f t="shared" si="97"/>
        <v/>
      </c>
      <c r="P257" s="292" t="str">
        <f t="shared" si="98"/>
        <v/>
      </c>
      <c r="Q257" s="317" t="str">
        <f t="shared" si="99"/>
        <v/>
      </c>
      <c r="R257" s="31"/>
      <c r="S257" s="409">
        <f t="shared" si="100"/>
        <v>0</v>
      </c>
      <c r="T257" s="409">
        <f t="shared" si="101"/>
        <v>0</v>
      </c>
      <c r="U257" s="428"/>
      <c r="V257" s="31"/>
      <c r="W257" s="80"/>
      <c r="X257" s="80"/>
      <c r="Y257" s="80"/>
      <c r="Z257" s="80"/>
      <c r="AA257" s="80"/>
      <c r="AB257" s="31"/>
      <c r="AC257" s="31"/>
      <c r="AD257" s="31"/>
      <c r="AE257" s="31"/>
      <c r="AK257" s="31"/>
      <c r="AL257" s="31"/>
    </row>
    <row r="258" spans="1:38" x14ac:dyDescent="0.25">
      <c r="A258" s="114" t="str">
        <f t="shared" si="84"/>
        <v/>
      </c>
      <c r="B258" s="265" t="str">
        <f t="shared" si="85"/>
        <v/>
      </c>
      <c r="C258" s="864" t="str">
        <f t="shared" si="86"/>
        <v/>
      </c>
      <c r="D258" s="865"/>
      <c r="E258" s="115" t="str">
        <f t="shared" si="87"/>
        <v/>
      </c>
      <c r="F258" s="279" t="str">
        <f t="shared" si="88"/>
        <v/>
      </c>
      <c r="G258" s="116" t="str">
        <f t="shared" si="89"/>
        <v/>
      </c>
      <c r="H258" s="288" t="str">
        <f t="shared" si="90"/>
        <v/>
      </c>
      <c r="I258" s="318" t="str">
        <f t="shared" si="91"/>
        <v/>
      </c>
      <c r="J258" s="290" t="str">
        <f t="shared" si="92"/>
        <v/>
      </c>
      <c r="K258" s="265" t="str">
        <f t="shared" si="93"/>
        <v/>
      </c>
      <c r="L258" s="131" t="str">
        <f t="shared" si="94"/>
        <v/>
      </c>
      <c r="M258" s="115" t="str">
        <f t="shared" si="95"/>
        <v/>
      </c>
      <c r="N258" s="267" t="str">
        <f t="shared" si="96"/>
        <v/>
      </c>
      <c r="O258" s="118" t="str">
        <f t="shared" si="97"/>
        <v/>
      </c>
      <c r="P258" s="292" t="str">
        <f t="shared" si="98"/>
        <v/>
      </c>
      <c r="Q258" s="317" t="str">
        <f t="shared" si="99"/>
        <v/>
      </c>
      <c r="R258" s="31"/>
      <c r="S258" s="409">
        <f t="shared" si="100"/>
        <v>0</v>
      </c>
      <c r="T258" s="409">
        <f t="shared" si="101"/>
        <v>0</v>
      </c>
      <c r="U258" s="428"/>
      <c r="V258" s="31"/>
      <c r="W258" s="80"/>
      <c r="X258" s="80"/>
      <c r="Y258" s="80"/>
      <c r="Z258" s="80"/>
      <c r="AA258" s="80"/>
      <c r="AB258" s="31"/>
      <c r="AC258" s="31"/>
      <c r="AD258" s="31"/>
      <c r="AE258" s="31"/>
      <c r="AK258" s="31"/>
      <c r="AL258" s="31"/>
    </row>
    <row r="259" spans="1:38" x14ac:dyDescent="0.25">
      <c r="A259" s="114" t="str">
        <f t="shared" si="84"/>
        <v/>
      </c>
      <c r="B259" s="265" t="str">
        <f t="shared" si="85"/>
        <v/>
      </c>
      <c r="C259" s="864" t="str">
        <f t="shared" si="86"/>
        <v/>
      </c>
      <c r="D259" s="865"/>
      <c r="E259" s="115" t="str">
        <f t="shared" si="87"/>
        <v/>
      </c>
      <c r="F259" s="279" t="str">
        <f t="shared" si="88"/>
        <v/>
      </c>
      <c r="G259" s="116" t="str">
        <f t="shared" si="89"/>
        <v/>
      </c>
      <c r="H259" s="288" t="str">
        <f t="shared" si="90"/>
        <v/>
      </c>
      <c r="I259" s="318" t="str">
        <f t="shared" si="91"/>
        <v/>
      </c>
      <c r="J259" s="290" t="str">
        <f t="shared" si="92"/>
        <v/>
      </c>
      <c r="K259" s="265" t="str">
        <f t="shared" si="93"/>
        <v/>
      </c>
      <c r="L259" s="131" t="str">
        <f t="shared" si="94"/>
        <v/>
      </c>
      <c r="M259" s="115" t="str">
        <f t="shared" si="95"/>
        <v/>
      </c>
      <c r="N259" s="267" t="str">
        <f t="shared" si="96"/>
        <v/>
      </c>
      <c r="O259" s="118" t="str">
        <f t="shared" si="97"/>
        <v/>
      </c>
      <c r="P259" s="292" t="str">
        <f t="shared" si="98"/>
        <v/>
      </c>
      <c r="Q259" s="317" t="str">
        <f t="shared" si="99"/>
        <v/>
      </c>
      <c r="R259" s="31"/>
      <c r="S259" s="409">
        <f t="shared" si="100"/>
        <v>0</v>
      </c>
      <c r="T259" s="409">
        <f t="shared" si="101"/>
        <v>0</v>
      </c>
      <c r="U259" s="428"/>
      <c r="V259" s="31"/>
      <c r="W259" s="80"/>
      <c r="X259" s="80"/>
      <c r="Y259" s="80"/>
      <c r="Z259" s="80"/>
      <c r="AA259" s="80"/>
      <c r="AB259" s="31"/>
      <c r="AC259" s="31"/>
      <c r="AD259" s="31"/>
      <c r="AE259" s="31"/>
      <c r="AK259" s="31"/>
      <c r="AL259" s="31"/>
    </row>
    <row r="260" spans="1:38" x14ac:dyDescent="0.25">
      <c r="A260" s="114" t="str">
        <f t="shared" si="84"/>
        <v/>
      </c>
      <c r="B260" s="265" t="str">
        <f t="shared" si="85"/>
        <v/>
      </c>
      <c r="C260" s="864" t="str">
        <f t="shared" si="86"/>
        <v/>
      </c>
      <c r="D260" s="865"/>
      <c r="E260" s="115" t="str">
        <f t="shared" si="87"/>
        <v/>
      </c>
      <c r="F260" s="279" t="str">
        <f t="shared" si="88"/>
        <v/>
      </c>
      <c r="G260" s="116" t="str">
        <f t="shared" si="89"/>
        <v/>
      </c>
      <c r="H260" s="288" t="str">
        <f t="shared" si="90"/>
        <v/>
      </c>
      <c r="I260" s="318" t="str">
        <f t="shared" si="91"/>
        <v/>
      </c>
      <c r="J260" s="290" t="str">
        <f t="shared" si="92"/>
        <v/>
      </c>
      <c r="K260" s="265" t="str">
        <f t="shared" si="93"/>
        <v/>
      </c>
      <c r="L260" s="131" t="str">
        <f t="shared" si="94"/>
        <v/>
      </c>
      <c r="M260" s="115" t="str">
        <f t="shared" si="95"/>
        <v/>
      </c>
      <c r="N260" s="267" t="str">
        <f t="shared" si="96"/>
        <v/>
      </c>
      <c r="O260" s="118" t="str">
        <f t="shared" si="97"/>
        <v/>
      </c>
      <c r="P260" s="292" t="str">
        <f t="shared" si="98"/>
        <v/>
      </c>
      <c r="Q260" s="317" t="str">
        <f t="shared" si="99"/>
        <v/>
      </c>
      <c r="R260" s="31"/>
      <c r="S260" s="409">
        <f t="shared" si="100"/>
        <v>0</v>
      </c>
      <c r="T260" s="409">
        <f t="shared" si="101"/>
        <v>0</v>
      </c>
      <c r="U260" s="428"/>
      <c r="V260" s="31"/>
      <c r="W260" s="80"/>
      <c r="X260" s="80"/>
      <c r="Y260" s="80"/>
      <c r="Z260" s="80"/>
      <c r="AA260" s="80"/>
      <c r="AB260" s="31"/>
      <c r="AC260" s="31"/>
      <c r="AD260" s="31"/>
      <c r="AE260" s="31"/>
      <c r="AK260" s="31"/>
      <c r="AL260" s="31"/>
    </row>
    <row r="261" spans="1:38" x14ac:dyDescent="0.25">
      <c r="A261" s="114" t="str">
        <f t="shared" si="84"/>
        <v/>
      </c>
      <c r="B261" s="265" t="str">
        <f t="shared" si="85"/>
        <v/>
      </c>
      <c r="C261" s="864" t="str">
        <f t="shared" si="86"/>
        <v/>
      </c>
      <c r="D261" s="865"/>
      <c r="E261" s="115" t="str">
        <f t="shared" si="87"/>
        <v/>
      </c>
      <c r="F261" s="279" t="str">
        <f t="shared" si="88"/>
        <v/>
      </c>
      <c r="G261" s="116" t="str">
        <f t="shared" si="89"/>
        <v/>
      </c>
      <c r="H261" s="288" t="str">
        <f t="shared" si="90"/>
        <v/>
      </c>
      <c r="I261" s="318" t="str">
        <f t="shared" si="91"/>
        <v/>
      </c>
      <c r="J261" s="290" t="str">
        <f t="shared" si="92"/>
        <v/>
      </c>
      <c r="K261" s="265" t="str">
        <f t="shared" si="93"/>
        <v/>
      </c>
      <c r="L261" s="131" t="str">
        <f t="shared" si="94"/>
        <v/>
      </c>
      <c r="M261" s="115" t="str">
        <f t="shared" si="95"/>
        <v/>
      </c>
      <c r="N261" s="267" t="str">
        <f t="shared" si="96"/>
        <v/>
      </c>
      <c r="O261" s="118" t="str">
        <f t="shared" si="97"/>
        <v/>
      </c>
      <c r="P261" s="292" t="str">
        <f t="shared" si="98"/>
        <v/>
      </c>
      <c r="Q261" s="317" t="str">
        <f t="shared" si="99"/>
        <v/>
      </c>
      <c r="R261" s="31"/>
      <c r="S261" s="409">
        <f t="shared" si="100"/>
        <v>0</v>
      </c>
      <c r="T261" s="409">
        <f t="shared" si="101"/>
        <v>0</v>
      </c>
      <c r="U261" s="428"/>
      <c r="V261" s="31"/>
      <c r="W261" s="80"/>
      <c r="X261" s="80"/>
      <c r="Y261" s="80"/>
      <c r="Z261" s="80"/>
      <c r="AA261" s="80"/>
      <c r="AB261" s="31"/>
      <c r="AC261" s="31"/>
      <c r="AD261" s="31"/>
      <c r="AE261" s="31"/>
      <c r="AK261" s="31"/>
      <c r="AL261" s="31"/>
    </row>
    <row r="262" spans="1:38" x14ac:dyDescent="0.25">
      <c r="A262" s="114" t="str">
        <f t="shared" si="84"/>
        <v/>
      </c>
      <c r="B262" s="265" t="str">
        <f t="shared" si="85"/>
        <v/>
      </c>
      <c r="C262" s="864" t="str">
        <f t="shared" si="86"/>
        <v/>
      </c>
      <c r="D262" s="865"/>
      <c r="E262" s="115" t="str">
        <f t="shared" si="87"/>
        <v/>
      </c>
      <c r="F262" s="279" t="str">
        <f t="shared" si="88"/>
        <v/>
      </c>
      <c r="G262" s="116" t="str">
        <f t="shared" si="89"/>
        <v/>
      </c>
      <c r="H262" s="288" t="str">
        <f t="shared" si="90"/>
        <v/>
      </c>
      <c r="I262" s="318" t="str">
        <f t="shared" si="91"/>
        <v/>
      </c>
      <c r="J262" s="290" t="str">
        <f t="shared" si="92"/>
        <v/>
      </c>
      <c r="K262" s="265" t="str">
        <f t="shared" si="93"/>
        <v/>
      </c>
      <c r="L262" s="131" t="str">
        <f t="shared" si="94"/>
        <v/>
      </c>
      <c r="M262" s="115" t="str">
        <f t="shared" si="95"/>
        <v/>
      </c>
      <c r="N262" s="267" t="str">
        <f t="shared" si="96"/>
        <v/>
      </c>
      <c r="O262" s="118" t="str">
        <f t="shared" si="97"/>
        <v/>
      </c>
      <c r="P262" s="292" t="str">
        <f t="shared" si="98"/>
        <v/>
      </c>
      <c r="Q262" s="317" t="str">
        <f t="shared" si="99"/>
        <v/>
      </c>
      <c r="R262" s="31"/>
      <c r="S262" s="409">
        <f t="shared" si="100"/>
        <v>0</v>
      </c>
      <c r="T262" s="409">
        <f t="shared" si="101"/>
        <v>0</v>
      </c>
      <c r="U262" s="428"/>
      <c r="V262" s="31"/>
      <c r="W262" s="80"/>
      <c r="X262" s="80"/>
      <c r="Y262" s="80"/>
      <c r="Z262" s="80"/>
      <c r="AA262" s="80"/>
      <c r="AB262" s="31"/>
      <c r="AC262" s="31"/>
      <c r="AD262" s="31"/>
      <c r="AE262" s="31"/>
      <c r="AK262" s="31"/>
      <c r="AL262" s="31"/>
    </row>
    <row r="263" spans="1:38" x14ac:dyDescent="0.25">
      <c r="A263" s="114" t="str">
        <f t="shared" si="84"/>
        <v/>
      </c>
      <c r="B263" s="265" t="str">
        <f t="shared" si="85"/>
        <v/>
      </c>
      <c r="C263" s="864" t="str">
        <f t="shared" si="86"/>
        <v/>
      </c>
      <c r="D263" s="865"/>
      <c r="E263" s="115" t="str">
        <f t="shared" si="87"/>
        <v/>
      </c>
      <c r="F263" s="279" t="str">
        <f t="shared" si="88"/>
        <v/>
      </c>
      <c r="G263" s="116" t="str">
        <f t="shared" si="89"/>
        <v/>
      </c>
      <c r="H263" s="288" t="str">
        <f t="shared" si="90"/>
        <v/>
      </c>
      <c r="I263" s="318" t="str">
        <f t="shared" si="91"/>
        <v/>
      </c>
      <c r="J263" s="290" t="str">
        <f t="shared" si="92"/>
        <v/>
      </c>
      <c r="K263" s="265" t="str">
        <f t="shared" si="93"/>
        <v/>
      </c>
      <c r="L263" s="131" t="str">
        <f t="shared" si="94"/>
        <v/>
      </c>
      <c r="M263" s="115" t="str">
        <f t="shared" si="95"/>
        <v/>
      </c>
      <c r="N263" s="267" t="str">
        <f t="shared" si="96"/>
        <v/>
      </c>
      <c r="O263" s="118" t="str">
        <f t="shared" si="97"/>
        <v/>
      </c>
      <c r="P263" s="292" t="str">
        <f t="shared" si="98"/>
        <v/>
      </c>
      <c r="Q263" s="317" t="str">
        <f t="shared" si="99"/>
        <v/>
      </c>
      <c r="R263" s="31"/>
      <c r="S263" s="409">
        <f t="shared" si="100"/>
        <v>0</v>
      </c>
      <c r="T263" s="409">
        <f t="shared" si="101"/>
        <v>0</v>
      </c>
      <c r="U263" s="428"/>
      <c r="V263" s="31"/>
      <c r="W263" s="80"/>
      <c r="X263" s="80"/>
      <c r="Y263" s="80"/>
      <c r="Z263" s="80"/>
      <c r="AA263" s="80"/>
      <c r="AB263" s="31"/>
      <c r="AC263" s="31"/>
      <c r="AD263" s="31"/>
      <c r="AE263" s="31"/>
      <c r="AK263" s="31"/>
      <c r="AL263" s="31"/>
    </row>
    <row r="264" spans="1:38" x14ac:dyDescent="0.25">
      <c r="A264" s="114" t="str">
        <f t="shared" si="84"/>
        <v/>
      </c>
      <c r="B264" s="265" t="str">
        <f t="shared" si="85"/>
        <v/>
      </c>
      <c r="C264" s="864" t="str">
        <f t="shared" si="86"/>
        <v/>
      </c>
      <c r="D264" s="865"/>
      <c r="E264" s="115" t="str">
        <f t="shared" si="87"/>
        <v/>
      </c>
      <c r="F264" s="279" t="str">
        <f t="shared" si="88"/>
        <v/>
      </c>
      <c r="G264" s="116" t="str">
        <f t="shared" si="89"/>
        <v/>
      </c>
      <c r="H264" s="288" t="str">
        <f t="shared" si="90"/>
        <v/>
      </c>
      <c r="I264" s="318" t="str">
        <f t="shared" si="91"/>
        <v/>
      </c>
      <c r="J264" s="290" t="str">
        <f t="shared" si="92"/>
        <v/>
      </c>
      <c r="K264" s="265" t="str">
        <f t="shared" si="93"/>
        <v/>
      </c>
      <c r="L264" s="131" t="str">
        <f t="shared" si="94"/>
        <v/>
      </c>
      <c r="M264" s="115" t="str">
        <f t="shared" si="95"/>
        <v/>
      </c>
      <c r="N264" s="267" t="str">
        <f t="shared" si="96"/>
        <v/>
      </c>
      <c r="O264" s="118" t="str">
        <f t="shared" si="97"/>
        <v/>
      </c>
      <c r="P264" s="292" t="str">
        <f t="shared" si="98"/>
        <v/>
      </c>
      <c r="Q264" s="317" t="str">
        <f t="shared" si="99"/>
        <v/>
      </c>
      <c r="R264" s="31"/>
      <c r="S264" s="409">
        <f t="shared" si="100"/>
        <v>0</v>
      </c>
      <c r="T264" s="409">
        <f t="shared" si="101"/>
        <v>0</v>
      </c>
      <c r="U264" s="428"/>
      <c r="V264" s="31"/>
      <c r="W264" s="80"/>
      <c r="X264" s="80"/>
      <c r="Y264" s="80"/>
      <c r="Z264" s="80"/>
      <c r="AA264" s="80"/>
      <c r="AB264" s="31"/>
      <c r="AC264" s="31"/>
      <c r="AD264" s="31"/>
      <c r="AE264" s="31"/>
      <c r="AK264" s="31"/>
      <c r="AL264" s="31"/>
    </row>
    <row r="265" spans="1:38" x14ac:dyDescent="0.25">
      <c r="A265" s="114" t="str">
        <f t="shared" si="84"/>
        <v/>
      </c>
      <c r="B265" s="265" t="str">
        <f t="shared" si="85"/>
        <v/>
      </c>
      <c r="C265" s="864" t="str">
        <f t="shared" si="86"/>
        <v/>
      </c>
      <c r="D265" s="865"/>
      <c r="E265" s="115" t="str">
        <f t="shared" si="87"/>
        <v/>
      </c>
      <c r="F265" s="279" t="str">
        <f t="shared" si="88"/>
        <v/>
      </c>
      <c r="G265" s="116" t="str">
        <f t="shared" si="89"/>
        <v/>
      </c>
      <c r="H265" s="288" t="str">
        <f t="shared" si="90"/>
        <v/>
      </c>
      <c r="I265" s="318" t="str">
        <f t="shared" si="91"/>
        <v/>
      </c>
      <c r="J265" s="290" t="str">
        <f t="shared" si="92"/>
        <v/>
      </c>
      <c r="K265" s="265" t="str">
        <f t="shared" si="93"/>
        <v/>
      </c>
      <c r="L265" s="131" t="str">
        <f t="shared" si="94"/>
        <v/>
      </c>
      <c r="M265" s="115" t="str">
        <f t="shared" si="95"/>
        <v/>
      </c>
      <c r="N265" s="267" t="str">
        <f t="shared" si="96"/>
        <v/>
      </c>
      <c r="O265" s="118" t="str">
        <f t="shared" si="97"/>
        <v/>
      </c>
      <c r="P265" s="292" t="str">
        <f t="shared" si="98"/>
        <v/>
      </c>
      <c r="Q265" s="317" t="str">
        <f t="shared" si="99"/>
        <v/>
      </c>
      <c r="R265" s="31"/>
      <c r="S265" s="409">
        <f t="shared" si="100"/>
        <v>0</v>
      </c>
      <c r="T265" s="409">
        <f t="shared" si="101"/>
        <v>0</v>
      </c>
      <c r="U265" s="428"/>
      <c r="V265" s="31"/>
      <c r="W265" s="80"/>
      <c r="X265" s="80"/>
      <c r="Y265" s="80"/>
      <c r="Z265" s="80"/>
      <c r="AA265" s="80"/>
      <c r="AB265" s="31"/>
      <c r="AC265" s="31"/>
      <c r="AD265" s="31"/>
      <c r="AE265" s="31"/>
      <c r="AK265" s="31"/>
      <c r="AL265" s="31"/>
    </row>
    <row r="266" spans="1:38" x14ac:dyDescent="0.25">
      <c r="A266" s="114" t="str">
        <f t="shared" si="84"/>
        <v/>
      </c>
      <c r="B266" s="265" t="str">
        <f t="shared" si="85"/>
        <v/>
      </c>
      <c r="C266" s="864" t="str">
        <f t="shared" si="86"/>
        <v/>
      </c>
      <c r="D266" s="865"/>
      <c r="E266" s="115" t="str">
        <f t="shared" si="87"/>
        <v/>
      </c>
      <c r="F266" s="279" t="str">
        <f t="shared" si="88"/>
        <v/>
      </c>
      <c r="G266" s="116" t="str">
        <f t="shared" si="89"/>
        <v/>
      </c>
      <c r="H266" s="288" t="str">
        <f t="shared" si="90"/>
        <v/>
      </c>
      <c r="I266" s="318" t="str">
        <f t="shared" si="91"/>
        <v/>
      </c>
      <c r="J266" s="290" t="str">
        <f t="shared" si="92"/>
        <v/>
      </c>
      <c r="K266" s="265" t="str">
        <f t="shared" si="93"/>
        <v/>
      </c>
      <c r="L266" s="131" t="str">
        <f t="shared" si="94"/>
        <v/>
      </c>
      <c r="M266" s="115" t="str">
        <f t="shared" si="95"/>
        <v/>
      </c>
      <c r="N266" s="267" t="str">
        <f t="shared" si="96"/>
        <v/>
      </c>
      <c r="O266" s="118" t="str">
        <f t="shared" si="97"/>
        <v/>
      </c>
      <c r="P266" s="292" t="str">
        <f t="shared" si="98"/>
        <v/>
      </c>
      <c r="Q266" s="317" t="str">
        <f t="shared" si="99"/>
        <v/>
      </c>
      <c r="R266" s="31"/>
      <c r="S266" s="409">
        <f t="shared" si="100"/>
        <v>0</v>
      </c>
      <c r="T266" s="409">
        <f t="shared" si="101"/>
        <v>0</v>
      </c>
      <c r="U266" s="428"/>
      <c r="V266" s="31"/>
      <c r="W266" s="80"/>
      <c r="X266" s="80"/>
      <c r="Y266" s="80"/>
      <c r="Z266" s="80"/>
      <c r="AA266" s="80"/>
      <c r="AB266" s="31"/>
      <c r="AC266" s="31"/>
      <c r="AD266" s="31"/>
      <c r="AE266" s="31"/>
      <c r="AK266" s="31"/>
      <c r="AL266" s="31"/>
    </row>
    <row r="267" spans="1:38" x14ac:dyDescent="0.25">
      <c r="A267" s="114" t="str">
        <f t="shared" si="84"/>
        <v/>
      </c>
      <c r="B267" s="265" t="str">
        <f t="shared" si="85"/>
        <v/>
      </c>
      <c r="C267" s="864" t="str">
        <f t="shared" si="86"/>
        <v/>
      </c>
      <c r="D267" s="865"/>
      <c r="E267" s="115" t="str">
        <f t="shared" si="87"/>
        <v/>
      </c>
      <c r="F267" s="279" t="str">
        <f t="shared" si="88"/>
        <v/>
      </c>
      <c r="G267" s="116" t="str">
        <f t="shared" si="89"/>
        <v/>
      </c>
      <c r="H267" s="288" t="str">
        <f t="shared" si="90"/>
        <v/>
      </c>
      <c r="I267" s="318" t="str">
        <f t="shared" si="91"/>
        <v/>
      </c>
      <c r="J267" s="290" t="str">
        <f t="shared" si="92"/>
        <v/>
      </c>
      <c r="K267" s="265" t="str">
        <f t="shared" si="93"/>
        <v/>
      </c>
      <c r="L267" s="131" t="str">
        <f t="shared" si="94"/>
        <v/>
      </c>
      <c r="M267" s="115" t="str">
        <f t="shared" si="95"/>
        <v/>
      </c>
      <c r="N267" s="267" t="str">
        <f t="shared" si="96"/>
        <v/>
      </c>
      <c r="O267" s="118" t="str">
        <f t="shared" si="97"/>
        <v/>
      </c>
      <c r="P267" s="292" t="str">
        <f t="shared" si="98"/>
        <v/>
      </c>
      <c r="Q267" s="317" t="str">
        <f t="shared" si="99"/>
        <v/>
      </c>
      <c r="R267" s="31"/>
      <c r="S267" s="409">
        <f t="shared" si="100"/>
        <v>0</v>
      </c>
      <c r="T267" s="409">
        <f t="shared" si="101"/>
        <v>0</v>
      </c>
      <c r="U267" s="428"/>
      <c r="V267" s="31"/>
      <c r="W267" s="80"/>
      <c r="X267" s="80"/>
      <c r="Y267" s="80"/>
      <c r="Z267" s="80"/>
      <c r="AA267" s="80"/>
      <c r="AB267" s="31"/>
      <c r="AC267" s="31"/>
      <c r="AD267" s="31"/>
      <c r="AE267" s="31"/>
      <c r="AK267" s="31"/>
      <c r="AL267" s="31"/>
    </row>
    <row r="268" spans="1:38" x14ac:dyDescent="0.25">
      <c r="A268" s="114" t="str">
        <f t="shared" si="84"/>
        <v/>
      </c>
      <c r="B268" s="265" t="str">
        <f t="shared" si="85"/>
        <v/>
      </c>
      <c r="C268" s="864" t="str">
        <f t="shared" si="86"/>
        <v/>
      </c>
      <c r="D268" s="865"/>
      <c r="E268" s="115" t="str">
        <f t="shared" si="87"/>
        <v/>
      </c>
      <c r="F268" s="279" t="str">
        <f t="shared" si="88"/>
        <v/>
      </c>
      <c r="G268" s="116" t="str">
        <f t="shared" si="89"/>
        <v/>
      </c>
      <c r="H268" s="288" t="str">
        <f t="shared" si="90"/>
        <v/>
      </c>
      <c r="I268" s="318" t="str">
        <f t="shared" si="91"/>
        <v/>
      </c>
      <c r="J268" s="290" t="str">
        <f t="shared" si="92"/>
        <v/>
      </c>
      <c r="K268" s="265" t="str">
        <f t="shared" si="93"/>
        <v/>
      </c>
      <c r="L268" s="131" t="str">
        <f t="shared" si="94"/>
        <v/>
      </c>
      <c r="M268" s="115" t="str">
        <f t="shared" si="95"/>
        <v/>
      </c>
      <c r="N268" s="267" t="str">
        <f t="shared" si="96"/>
        <v/>
      </c>
      <c r="O268" s="118" t="str">
        <f t="shared" si="97"/>
        <v/>
      </c>
      <c r="P268" s="292" t="str">
        <f t="shared" si="98"/>
        <v/>
      </c>
      <c r="Q268" s="317" t="str">
        <f t="shared" si="99"/>
        <v/>
      </c>
      <c r="R268" s="31"/>
      <c r="S268" s="409">
        <f t="shared" si="100"/>
        <v>0</v>
      </c>
      <c r="T268" s="409">
        <f t="shared" si="101"/>
        <v>0</v>
      </c>
      <c r="U268" s="428"/>
      <c r="V268" s="31"/>
      <c r="W268" s="80"/>
      <c r="X268" s="80"/>
      <c r="Y268" s="80"/>
      <c r="Z268" s="80"/>
      <c r="AA268" s="80"/>
      <c r="AB268" s="31"/>
      <c r="AC268" s="31"/>
      <c r="AD268" s="31"/>
      <c r="AE268" s="31"/>
      <c r="AK268" s="31"/>
      <c r="AL268" s="31"/>
    </row>
    <row r="269" spans="1:38" x14ac:dyDescent="0.25">
      <c r="A269" s="114" t="str">
        <f t="shared" si="84"/>
        <v/>
      </c>
      <c r="B269" s="265" t="str">
        <f t="shared" si="85"/>
        <v/>
      </c>
      <c r="C269" s="864" t="str">
        <f t="shared" si="86"/>
        <v/>
      </c>
      <c r="D269" s="865"/>
      <c r="E269" s="115" t="str">
        <f t="shared" si="87"/>
        <v/>
      </c>
      <c r="F269" s="279" t="str">
        <f t="shared" si="88"/>
        <v/>
      </c>
      <c r="G269" s="116" t="str">
        <f t="shared" si="89"/>
        <v/>
      </c>
      <c r="H269" s="288" t="str">
        <f t="shared" si="90"/>
        <v/>
      </c>
      <c r="I269" s="318" t="str">
        <f t="shared" si="91"/>
        <v/>
      </c>
      <c r="J269" s="290" t="str">
        <f t="shared" si="92"/>
        <v/>
      </c>
      <c r="K269" s="265" t="str">
        <f t="shared" si="93"/>
        <v/>
      </c>
      <c r="L269" s="131" t="str">
        <f t="shared" si="94"/>
        <v/>
      </c>
      <c r="M269" s="115" t="str">
        <f t="shared" si="95"/>
        <v/>
      </c>
      <c r="N269" s="267" t="str">
        <f t="shared" si="96"/>
        <v/>
      </c>
      <c r="O269" s="118" t="str">
        <f t="shared" si="97"/>
        <v/>
      </c>
      <c r="P269" s="292" t="str">
        <f t="shared" si="98"/>
        <v/>
      </c>
      <c r="Q269" s="317" t="str">
        <f t="shared" si="99"/>
        <v/>
      </c>
      <c r="R269" s="31"/>
      <c r="S269" s="409">
        <f t="shared" si="100"/>
        <v>0</v>
      </c>
      <c r="T269" s="409">
        <f t="shared" si="101"/>
        <v>0</v>
      </c>
      <c r="U269" s="428"/>
      <c r="V269" s="31"/>
      <c r="W269" s="80"/>
      <c r="X269" s="80"/>
      <c r="Y269" s="80"/>
      <c r="Z269" s="80"/>
      <c r="AA269" s="80"/>
      <c r="AB269" s="31"/>
      <c r="AC269" s="31"/>
      <c r="AD269" s="31"/>
      <c r="AE269" s="31"/>
      <c r="AK269" s="31"/>
      <c r="AL269" s="31"/>
    </row>
    <row r="270" spans="1:38" x14ac:dyDescent="0.25">
      <c r="A270" s="114" t="str">
        <f t="shared" si="84"/>
        <v/>
      </c>
      <c r="B270" s="265" t="str">
        <f t="shared" si="85"/>
        <v/>
      </c>
      <c r="C270" s="864" t="str">
        <f t="shared" si="86"/>
        <v/>
      </c>
      <c r="D270" s="865"/>
      <c r="E270" s="115" t="str">
        <f t="shared" si="87"/>
        <v/>
      </c>
      <c r="F270" s="279" t="str">
        <f t="shared" si="88"/>
        <v/>
      </c>
      <c r="G270" s="116" t="str">
        <f t="shared" si="89"/>
        <v/>
      </c>
      <c r="H270" s="288" t="str">
        <f t="shared" si="90"/>
        <v/>
      </c>
      <c r="I270" s="318" t="str">
        <f t="shared" si="91"/>
        <v/>
      </c>
      <c r="J270" s="290" t="str">
        <f t="shared" si="92"/>
        <v/>
      </c>
      <c r="K270" s="265" t="str">
        <f t="shared" si="93"/>
        <v/>
      </c>
      <c r="L270" s="131" t="str">
        <f t="shared" si="94"/>
        <v/>
      </c>
      <c r="M270" s="115" t="str">
        <f t="shared" si="95"/>
        <v/>
      </c>
      <c r="N270" s="267" t="str">
        <f t="shared" si="96"/>
        <v/>
      </c>
      <c r="O270" s="118" t="str">
        <f t="shared" si="97"/>
        <v/>
      </c>
      <c r="P270" s="292" t="str">
        <f t="shared" si="98"/>
        <v/>
      </c>
      <c r="Q270" s="317" t="str">
        <f t="shared" si="99"/>
        <v/>
      </c>
      <c r="R270" s="31"/>
      <c r="S270" s="409">
        <f t="shared" si="100"/>
        <v>0</v>
      </c>
      <c r="T270" s="409">
        <f t="shared" si="101"/>
        <v>0</v>
      </c>
      <c r="U270" s="428"/>
      <c r="V270" s="31"/>
      <c r="W270" s="80"/>
      <c r="X270" s="80"/>
      <c r="Y270" s="80"/>
      <c r="Z270" s="80"/>
      <c r="AA270" s="80"/>
      <c r="AB270" s="31"/>
      <c r="AC270" s="31"/>
      <c r="AD270" s="31"/>
      <c r="AE270" s="31"/>
      <c r="AK270" s="31"/>
      <c r="AL270" s="31"/>
    </row>
    <row r="271" spans="1:38" x14ac:dyDescent="0.25">
      <c r="A271" s="114" t="str">
        <f t="shared" si="84"/>
        <v/>
      </c>
      <c r="B271" s="265" t="str">
        <f t="shared" si="85"/>
        <v/>
      </c>
      <c r="C271" s="864" t="str">
        <f t="shared" si="86"/>
        <v/>
      </c>
      <c r="D271" s="865"/>
      <c r="E271" s="115" t="str">
        <f t="shared" si="87"/>
        <v/>
      </c>
      <c r="F271" s="279" t="str">
        <f t="shared" si="88"/>
        <v/>
      </c>
      <c r="G271" s="116" t="str">
        <f t="shared" si="89"/>
        <v/>
      </c>
      <c r="H271" s="288" t="str">
        <f t="shared" si="90"/>
        <v/>
      </c>
      <c r="I271" s="318" t="str">
        <f t="shared" si="91"/>
        <v/>
      </c>
      <c r="J271" s="290" t="str">
        <f t="shared" si="92"/>
        <v/>
      </c>
      <c r="K271" s="265" t="str">
        <f t="shared" si="93"/>
        <v/>
      </c>
      <c r="L271" s="131" t="str">
        <f t="shared" si="94"/>
        <v/>
      </c>
      <c r="M271" s="115" t="str">
        <f t="shared" si="95"/>
        <v/>
      </c>
      <c r="N271" s="267" t="str">
        <f t="shared" si="96"/>
        <v/>
      </c>
      <c r="O271" s="118" t="str">
        <f t="shared" si="97"/>
        <v/>
      </c>
      <c r="P271" s="292" t="str">
        <f t="shared" si="98"/>
        <v/>
      </c>
      <c r="Q271" s="317" t="str">
        <f t="shared" si="99"/>
        <v/>
      </c>
      <c r="R271" s="31"/>
      <c r="S271" s="409">
        <f t="shared" si="100"/>
        <v>0</v>
      </c>
      <c r="T271" s="409">
        <f t="shared" si="101"/>
        <v>0</v>
      </c>
      <c r="U271" s="428"/>
      <c r="V271" s="31"/>
      <c r="W271" s="80"/>
      <c r="X271" s="80"/>
      <c r="Y271" s="80"/>
      <c r="Z271" s="80"/>
      <c r="AA271" s="80"/>
      <c r="AB271" s="31"/>
      <c r="AC271" s="31"/>
      <c r="AD271" s="31"/>
      <c r="AE271" s="31"/>
      <c r="AK271" s="31"/>
      <c r="AL271" s="31"/>
    </row>
    <row r="272" spans="1:38" x14ac:dyDescent="0.25">
      <c r="A272" s="114" t="str">
        <f t="shared" si="84"/>
        <v/>
      </c>
      <c r="B272" s="265" t="str">
        <f t="shared" si="85"/>
        <v/>
      </c>
      <c r="C272" s="864" t="str">
        <f t="shared" si="86"/>
        <v/>
      </c>
      <c r="D272" s="865"/>
      <c r="E272" s="115" t="str">
        <f t="shared" si="87"/>
        <v/>
      </c>
      <c r="F272" s="279" t="str">
        <f t="shared" si="88"/>
        <v/>
      </c>
      <c r="G272" s="116" t="str">
        <f t="shared" si="89"/>
        <v/>
      </c>
      <c r="H272" s="288" t="str">
        <f t="shared" si="90"/>
        <v/>
      </c>
      <c r="I272" s="318" t="str">
        <f t="shared" si="91"/>
        <v/>
      </c>
      <c r="J272" s="290" t="str">
        <f t="shared" si="92"/>
        <v/>
      </c>
      <c r="K272" s="265" t="str">
        <f t="shared" si="93"/>
        <v/>
      </c>
      <c r="L272" s="131" t="str">
        <f t="shared" si="94"/>
        <v/>
      </c>
      <c r="M272" s="115" t="str">
        <f t="shared" si="95"/>
        <v/>
      </c>
      <c r="N272" s="267" t="str">
        <f t="shared" si="96"/>
        <v/>
      </c>
      <c r="O272" s="118" t="str">
        <f t="shared" si="97"/>
        <v/>
      </c>
      <c r="P272" s="292" t="str">
        <f t="shared" si="98"/>
        <v/>
      </c>
      <c r="Q272" s="317" t="str">
        <f t="shared" si="99"/>
        <v/>
      </c>
      <c r="R272" s="31"/>
      <c r="S272" s="409">
        <f t="shared" si="100"/>
        <v>0</v>
      </c>
      <c r="T272" s="409">
        <f t="shared" si="101"/>
        <v>0</v>
      </c>
      <c r="U272" s="428"/>
      <c r="V272" s="31"/>
      <c r="W272" s="80"/>
      <c r="X272" s="80"/>
      <c r="Y272" s="80"/>
      <c r="Z272" s="80"/>
      <c r="AA272" s="80"/>
      <c r="AB272" s="31"/>
      <c r="AC272" s="31"/>
      <c r="AD272" s="31"/>
      <c r="AE272" s="31"/>
      <c r="AK272" s="31"/>
      <c r="AL272" s="31"/>
    </row>
    <row r="273" spans="1:38" x14ac:dyDescent="0.25">
      <c r="A273" s="114" t="str">
        <f t="shared" si="84"/>
        <v/>
      </c>
      <c r="B273" s="265" t="str">
        <f t="shared" si="85"/>
        <v/>
      </c>
      <c r="C273" s="864" t="str">
        <f t="shared" si="86"/>
        <v/>
      </c>
      <c r="D273" s="865"/>
      <c r="E273" s="115" t="str">
        <f t="shared" si="87"/>
        <v/>
      </c>
      <c r="F273" s="279" t="str">
        <f t="shared" si="88"/>
        <v/>
      </c>
      <c r="G273" s="116" t="str">
        <f t="shared" si="89"/>
        <v/>
      </c>
      <c r="H273" s="288" t="str">
        <f t="shared" si="90"/>
        <v/>
      </c>
      <c r="I273" s="318" t="str">
        <f t="shared" si="91"/>
        <v/>
      </c>
      <c r="J273" s="290" t="str">
        <f t="shared" si="92"/>
        <v/>
      </c>
      <c r="K273" s="265" t="str">
        <f t="shared" si="93"/>
        <v/>
      </c>
      <c r="L273" s="131" t="str">
        <f t="shared" si="94"/>
        <v/>
      </c>
      <c r="M273" s="115" t="str">
        <f t="shared" si="95"/>
        <v/>
      </c>
      <c r="N273" s="267" t="str">
        <f t="shared" si="96"/>
        <v/>
      </c>
      <c r="O273" s="118" t="str">
        <f t="shared" si="97"/>
        <v/>
      </c>
      <c r="P273" s="292" t="str">
        <f t="shared" si="98"/>
        <v/>
      </c>
      <c r="Q273" s="317" t="str">
        <f t="shared" si="99"/>
        <v/>
      </c>
      <c r="R273" s="31"/>
      <c r="S273" s="409">
        <f t="shared" si="100"/>
        <v>0</v>
      </c>
      <c r="T273" s="409">
        <f t="shared" si="101"/>
        <v>0</v>
      </c>
      <c r="U273" s="428"/>
      <c r="V273" s="31"/>
      <c r="W273" s="80"/>
      <c r="X273" s="80"/>
      <c r="Y273" s="80"/>
      <c r="Z273" s="80"/>
      <c r="AA273" s="80"/>
      <c r="AB273" s="31"/>
      <c r="AC273" s="31"/>
      <c r="AD273" s="31"/>
      <c r="AE273" s="31"/>
      <c r="AK273" s="31"/>
      <c r="AL273" s="31"/>
    </row>
    <row r="274" spans="1:38" x14ac:dyDescent="0.25">
      <c r="A274" s="114" t="str">
        <f t="shared" si="84"/>
        <v/>
      </c>
      <c r="B274" s="265" t="str">
        <f t="shared" si="85"/>
        <v/>
      </c>
      <c r="C274" s="864" t="str">
        <f t="shared" si="86"/>
        <v/>
      </c>
      <c r="D274" s="865"/>
      <c r="E274" s="115" t="str">
        <f t="shared" si="87"/>
        <v/>
      </c>
      <c r="F274" s="279" t="str">
        <f t="shared" si="88"/>
        <v/>
      </c>
      <c r="G274" s="116" t="str">
        <f t="shared" si="89"/>
        <v/>
      </c>
      <c r="H274" s="288" t="str">
        <f t="shared" si="90"/>
        <v/>
      </c>
      <c r="I274" s="318" t="str">
        <f t="shared" si="91"/>
        <v/>
      </c>
      <c r="J274" s="290" t="str">
        <f t="shared" si="92"/>
        <v/>
      </c>
      <c r="K274" s="265" t="str">
        <f t="shared" si="93"/>
        <v/>
      </c>
      <c r="L274" s="131" t="str">
        <f t="shared" si="94"/>
        <v/>
      </c>
      <c r="M274" s="115" t="str">
        <f t="shared" si="95"/>
        <v/>
      </c>
      <c r="N274" s="267" t="str">
        <f t="shared" si="96"/>
        <v/>
      </c>
      <c r="O274" s="118" t="str">
        <f t="shared" si="97"/>
        <v/>
      </c>
      <c r="P274" s="292" t="str">
        <f t="shared" si="98"/>
        <v/>
      </c>
      <c r="Q274" s="317" t="str">
        <f t="shared" si="99"/>
        <v/>
      </c>
      <c r="R274" s="31"/>
      <c r="S274" s="409">
        <f t="shared" si="100"/>
        <v>0</v>
      </c>
      <c r="T274" s="409">
        <f t="shared" si="101"/>
        <v>0</v>
      </c>
      <c r="U274" s="428"/>
      <c r="V274" s="31"/>
      <c r="W274" s="80"/>
      <c r="X274" s="80"/>
      <c r="Y274" s="80"/>
      <c r="Z274" s="80"/>
      <c r="AA274" s="80"/>
      <c r="AB274" s="31"/>
      <c r="AC274" s="31"/>
      <c r="AD274" s="31"/>
      <c r="AE274" s="31"/>
      <c r="AK274" s="31"/>
      <c r="AL274" s="31"/>
    </row>
    <row r="275" spans="1:38" x14ac:dyDescent="0.25">
      <c r="A275" s="114" t="str">
        <f t="shared" si="84"/>
        <v/>
      </c>
      <c r="B275" s="265" t="str">
        <f t="shared" si="85"/>
        <v/>
      </c>
      <c r="C275" s="864" t="str">
        <f t="shared" si="86"/>
        <v/>
      </c>
      <c r="D275" s="865"/>
      <c r="E275" s="115" t="str">
        <f t="shared" si="87"/>
        <v/>
      </c>
      <c r="F275" s="279" t="str">
        <f t="shared" si="88"/>
        <v/>
      </c>
      <c r="G275" s="116" t="str">
        <f t="shared" si="89"/>
        <v/>
      </c>
      <c r="H275" s="288" t="str">
        <f t="shared" si="90"/>
        <v/>
      </c>
      <c r="I275" s="318" t="str">
        <f t="shared" si="91"/>
        <v/>
      </c>
      <c r="J275" s="290" t="str">
        <f t="shared" si="92"/>
        <v/>
      </c>
      <c r="K275" s="265" t="str">
        <f t="shared" si="93"/>
        <v/>
      </c>
      <c r="L275" s="131" t="str">
        <f t="shared" si="94"/>
        <v/>
      </c>
      <c r="M275" s="115" t="str">
        <f t="shared" si="95"/>
        <v/>
      </c>
      <c r="N275" s="267" t="str">
        <f t="shared" si="96"/>
        <v/>
      </c>
      <c r="O275" s="118" t="str">
        <f t="shared" si="97"/>
        <v/>
      </c>
      <c r="P275" s="292" t="str">
        <f t="shared" si="98"/>
        <v/>
      </c>
      <c r="Q275" s="317" t="str">
        <f t="shared" si="99"/>
        <v/>
      </c>
      <c r="R275" s="31"/>
      <c r="S275" s="409">
        <f t="shared" si="100"/>
        <v>0</v>
      </c>
      <c r="T275" s="409">
        <f t="shared" si="101"/>
        <v>0</v>
      </c>
      <c r="U275" s="428"/>
      <c r="V275" s="31"/>
      <c r="W275" s="80"/>
      <c r="X275" s="80"/>
      <c r="Y275" s="80"/>
      <c r="Z275" s="80"/>
      <c r="AA275" s="80"/>
      <c r="AB275" s="31"/>
      <c r="AC275" s="31"/>
      <c r="AD275" s="31"/>
      <c r="AE275" s="31"/>
      <c r="AK275" s="31"/>
      <c r="AL275" s="31"/>
    </row>
    <row r="276" spans="1:38" x14ac:dyDescent="0.25">
      <c r="A276" s="114" t="str">
        <f t="shared" si="84"/>
        <v/>
      </c>
      <c r="B276" s="265" t="str">
        <f t="shared" si="85"/>
        <v/>
      </c>
      <c r="C276" s="864" t="str">
        <f t="shared" si="86"/>
        <v/>
      </c>
      <c r="D276" s="865"/>
      <c r="E276" s="115" t="str">
        <f t="shared" si="87"/>
        <v/>
      </c>
      <c r="F276" s="279" t="str">
        <f t="shared" si="88"/>
        <v/>
      </c>
      <c r="G276" s="116" t="str">
        <f t="shared" si="89"/>
        <v/>
      </c>
      <c r="H276" s="288" t="str">
        <f t="shared" si="90"/>
        <v/>
      </c>
      <c r="I276" s="318" t="str">
        <f t="shared" si="91"/>
        <v/>
      </c>
      <c r="J276" s="290" t="str">
        <f t="shared" si="92"/>
        <v/>
      </c>
      <c r="K276" s="265" t="str">
        <f t="shared" si="93"/>
        <v/>
      </c>
      <c r="L276" s="131" t="str">
        <f t="shared" si="94"/>
        <v/>
      </c>
      <c r="M276" s="115" t="str">
        <f t="shared" si="95"/>
        <v/>
      </c>
      <c r="N276" s="267" t="str">
        <f t="shared" si="96"/>
        <v/>
      </c>
      <c r="O276" s="118" t="str">
        <f t="shared" si="97"/>
        <v/>
      </c>
      <c r="P276" s="292" t="str">
        <f t="shared" si="98"/>
        <v/>
      </c>
      <c r="Q276" s="317" t="str">
        <f t="shared" si="99"/>
        <v/>
      </c>
      <c r="R276" s="31"/>
      <c r="S276" s="409">
        <f t="shared" si="100"/>
        <v>0</v>
      </c>
      <c r="T276" s="409">
        <f t="shared" si="101"/>
        <v>0</v>
      </c>
      <c r="U276" s="428"/>
      <c r="V276" s="31"/>
      <c r="W276" s="80"/>
      <c r="X276" s="80"/>
      <c r="Y276" s="80"/>
      <c r="Z276" s="80"/>
      <c r="AA276" s="80"/>
      <c r="AB276" s="31"/>
      <c r="AC276" s="31"/>
      <c r="AD276" s="31"/>
      <c r="AE276" s="31"/>
      <c r="AK276" s="31"/>
      <c r="AL276" s="31"/>
    </row>
    <row r="277" spans="1:38" x14ac:dyDescent="0.25">
      <c r="A277" s="114" t="str">
        <f t="shared" si="84"/>
        <v/>
      </c>
      <c r="B277" s="265" t="str">
        <f t="shared" si="85"/>
        <v/>
      </c>
      <c r="C277" s="864" t="str">
        <f t="shared" si="86"/>
        <v/>
      </c>
      <c r="D277" s="865"/>
      <c r="E277" s="115" t="str">
        <f t="shared" si="87"/>
        <v/>
      </c>
      <c r="F277" s="279" t="str">
        <f t="shared" si="88"/>
        <v/>
      </c>
      <c r="G277" s="116" t="str">
        <f t="shared" si="89"/>
        <v/>
      </c>
      <c r="H277" s="288" t="str">
        <f t="shared" si="90"/>
        <v/>
      </c>
      <c r="I277" s="318" t="str">
        <f t="shared" si="91"/>
        <v/>
      </c>
      <c r="J277" s="290" t="str">
        <f t="shared" si="92"/>
        <v/>
      </c>
      <c r="K277" s="265" t="str">
        <f t="shared" si="93"/>
        <v/>
      </c>
      <c r="L277" s="131" t="str">
        <f t="shared" si="94"/>
        <v/>
      </c>
      <c r="M277" s="115" t="str">
        <f t="shared" si="95"/>
        <v/>
      </c>
      <c r="N277" s="267" t="str">
        <f t="shared" si="96"/>
        <v/>
      </c>
      <c r="O277" s="118" t="str">
        <f t="shared" si="97"/>
        <v/>
      </c>
      <c r="P277" s="292" t="str">
        <f t="shared" si="98"/>
        <v/>
      </c>
      <c r="Q277" s="317" t="str">
        <f t="shared" si="99"/>
        <v/>
      </c>
      <c r="R277" s="31"/>
      <c r="S277" s="409">
        <f t="shared" si="100"/>
        <v>0</v>
      </c>
      <c r="T277" s="409">
        <f t="shared" si="101"/>
        <v>0</v>
      </c>
      <c r="U277" s="428"/>
      <c r="V277" s="31"/>
      <c r="W277" s="80"/>
      <c r="X277" s="80"/>
      <c r="Y277" s="80"/>
      <c r="Z277" s="80"/>
      <c r="AA277" s="80"/>
      <c r="AB277" s="31"/>
      <c r="AC277" s="31"/>
      <c r="AD277" s="31"/>
      <c r="AE277" s="31"/>
      <c r="AK277" s="31"/>
      <c r="AL277" s="31"/>
    </row>
    <row r="278" spans="1:38" x14ac:dyDescent="0.25">
      <c r="A278" s="114" t="str">
        <f t="shared" si="84"/>
        <v/>
      </c>
      <c r="B278" s="265" t="str">
        <f t="shared" si="85"/>
        <v/>
      </c>
      <c r="C278" s="864" t="str">
        <f t="shared" si="86"/>
        <v/>
      </c>
      <c r="D278" s="865"/>
      <c r="E278" s="115" t="str">
        <f t="shared" si="87"/>
        <v/>
      </c>
      <c r="F278" s="279" t="str">
        <f t="shared" si="88"/>
        <v/>
      </c>
      <c r="G278" s="116" t="str">
        <f t="shared" si="89"/>
        <v/>
      </c>
      <c r="H278" s="288" t="str">
        <f t="shared" si="90"/>
        <v/>
      </c>
      <c r="I278" s="318" t="str">
        <f t="shared" si="91"/>
        <v/>
      </c>
      <c r="J278" s="290" t="str">
        <f t="shared" si="92"/>
        <v/>
      </c>
      <c r="K278" s="265" t="str">
        <f t="shared" si="93"/>
        <v/>
      </c>
      <c r="L278" s="131" t="str">
        <f t="shared" si="94"/>
        <v/>
      </c>
      <c r="M278" s="115" t="str">
        <f t="shared" si="95"/>
        <v/>
      </c>
      <c r="N278" s="267" t="str">
        <f t="shared" si="96"/>
        <v/>
      </c>
      <c r="O278" s="118" t="str">
        <f t="shared" si="97"/>
        <v/>
      </c>
      <c r="P278" s="292" t="str">
        <f t="shared" si="98"/>
        <v/>
      </c>
      <c r="Q278" s="317" t="str">
        <f t="shared" si="99"/>
        <v/>
      </c>
      <c r="R278" s="31"/>
      <c r="S278" s="409">
        <f t="shared" si="100"/>
        <v>0</v>
      </c>
      <c r="T278" s="409">
        <f t="shared" si="101"/>
        <v>0</v>
      </c>
      <c r="U278" s="428"/>
      <c r="V278" s="31"/>
      <c r="W278" s="80"/>
      <c r="X278" s="80"/>
      <c r="Y278" s="80"/>
      <c r="Z278" s="80"/>
      <c r="AA278" s="80"/>
      <c r="AB278" s="31"/>
      <c r="AC278" s="31"/>
      <c r="AD278" s="31"/>
      <c r="AE278" s="31"/>
      <c r="AK278" s="31"/>
      <c r="AL278" s="31"/>
    </row>
    <row r="279" spans="1:38" x14ac:dyDescent="0.25">
      <c r="A279" s="114" t="str">
        <f t="shared" si="84"/>
        <v/>
      </c>
      <c r="B279" s="265" t="str">
        <f t="shared" si="85"/>
        <v/>
      </c>
      <c r="C279" s="864" t="str">
        <f t="shared" si="86"/>
        <v/>
      </c>
      <c r="D279" s="865"/>
      <c r="E279" s="115" t="str">
        <f t="shared" si="87"/>
        <v/>
      </c>
      <c r="F279" s="279" t="str">
        <f t="shared" si="88"/>
        <v/>
      </c>
      <c r="G279" s="116" t="str">
        <f t="shared" si="89"/>
        <v/>
      </c>
      <c r="H279" s="288" t="str">
        <f t="shared" si="90"/>
        <v/>
      </c>
      <c r="I279" s="318" t="str">
        <f t="shared" si="91"/>
        <v/>
      </c>
      <c r="J279" s="290" t="str">
        <f t="shared" si="92"/>
        <v/>
      </c>
      <c r="K279" s="265" t="str">
        <f t="shared" si="93"/>
        <v/>
      </c>
      <c r="L279" s="131" t="str">
        <f t="shared" si="94"/>
        <v/>
      </c>
      <c r="M279" s="115" t="str">
        <f t="shared" si="95"/>
        <v/>
      </c>
      <c r="N279" s="267" t="str">
        <f t="shared" si="96"/>
        <v/>
      </c>
      <c r="O279" s="118" t="str">
        <f t="shared" si="97"/>
        <v/>
      </c>
      <c r="P279" s="292" t="str">
        <f t="shared" si="98"/>
        <v/>
      </c>
      <c r="Q279" s="317" t="str">
        <f t="shared" si="99"/>
        <v/>
      </c>
      <c r="R279" s="31"/>
      <c r="S279" s="409">
        <f t="shared" si="100"/>
        <v>0</v>
      </c>
      <c r="T279" s="409">
        <f t="shared" si="101"/>
        <v>0</v>
      </c>
      <c r="U279" s="428"/>
      <c r="V279" s="31"/>
      <c r="W279" s="80"/>
      <c r="X279" s="80"/>
      <c r="Y279" s="80"/>
      <c r="Z279" s="80"/>
      <c r="AA279" s="80"/>
      <c r="AB279" s="31"/>
      <c r="AC279" s="31"/>
      <c r="AD279" s="31"/>
      <c r="AE279" s="31"/>
      <c r="AK279" s="31"/>
      <c r="AL279" s="31"/>
    </row>
    <row r="280" spans="1:38" x14ac:dyDescent="0.25">
      <c r="A280" s="114" t="str">
        <f t="shared" si="84"/>
        <v/>
      </c>
      <c r="B280" s="265" t="str">
        <f t="shared" si="85"/>
        <v/>
      </c>
      <c r="C280" s="864" t="str">
        <f t="shared" si="86"/>
        <v/>
      </c>
      <c r="D280" s="865"/>
      <c r="E280" s="115" t="str">
        <f t="shared" si="87"/>
        <v/>
      </c>
      <c r="F280" s="279" t="str">
        <f t="shared" si="88"/>
        <v/>
      </c>
      <c r="G280" s="116" t="str">
        <f t="shared" si="89"/>
        <v/>
      </c>
      <c r="H280" s="288" t="str">
        <f t="shared" si="90"/>
        <v/>
      </c>
      <c r="I280" s="318" t="str">
        <f t="shared" si="91"/>
        <v/>
      </c>
      <c r="J280" s="290" t="str">
        <f t="shared" si="92"/>
        <v/>
      </c>
      <c r="K280" s="265" t="str">
        <f t="shared" si="93"/>
        <v/>
      </c>
      <c r="L280" s="131" t="str">
        <f t="shared" si="94"/>
        <v/>
      </c>
      <c r="M280" s="115" t="str">
        <f t="shared" si="95"/>
        <v/>
      </c>
      <c r="N280" s="267" t="str">
        <f t="shared" si="96"/>
        <v/>
      </c>
      <c r="O280" s="118" t="str">
        <f t="shared" si="97"/>
        <v/>
      </c>
      <c r="P280" s="292" t="str">
        <f t="shared" si="98"/>
        <v/>
      </c>
      <c r="Q280" s="317" t="str">
        <f t="shared" si="99"/>
        <v/>
      </c>
      <c r="R280" s="31"/>
      <c r="S280" s="409">
        <f t="shared" si="100"/>
        <v>0</v>
      </c>
      <c r="T280" s="409">
        <f t="shared" si="101"/>
        <v>0</v>
      </c>
      <c r="U280" s="428"/>
      <c r="V280" s="31"/>
      <c r="W280" s="80"/>
      <c r="X280" s="80"/>
      <c r="Y280" s="80"/>
      <c r="Z280" s="80"/>
      <c r="AA280" s="80"/>
      <c r="AB280" s="31"/>
      <c r="AC280" s="31"/>
      <c r="AD280" s="31"/>
      <c r="AE280" s="31"/>
      <c r="AK280" s="31"/>
      <c r="AL280" s="31"/>
    </row>
    <row r="281" spans="1:38" x14ac:dyDescent="0.25">
      <c r="A281" s="114" t="str">
        <f t="shared" si="84"/>
        <v/>
      </c>
      <c r="B281" s="265" t="str">
        <f t="shared" si="85"/>
        <v/>
      </c>
      <c r="C281" s="864" t="str">
        <f t="shared" si="86"/>
        <v/>
      </c>
      <c r="D281" s="865"/>
      <c r="E281" s="115" t="str">
        <f t="shared" si="87"/>
        <v/>
      </c>
      <c r="F281" s="279" t="str">
        <f t="shared" si="88"/>
        <v/>
      </c>
      <c r="G281" s="116" t="str">
        <f t="shared" si="89"/>
        <v/>
      </c>
      <c r="H281" s="288" t="str">
        <f t="shared" si="90"/>
        <v/>
      </c>
      <c r="I281" s="318" t="str">
        <f t="shared" si="91"/>
        <v/>
      </c>
      <c r="J281" s="290" t="str">
        <f t="shared" si="92"/>
        <v/>
      </c>
      <c r="K281" s="265" t="str">
        <f t="shared" si="93"/>
        <v/>
      </c>
      <c r="L281" s="131" t="str">
        <f t="shared" si="94"/>
        <v/>
      </c>
      <c r="M281" s="115" t="str">
        <f t="shared" si="95"/>
        <v/>
      </c>
      <c r="N281" s="267" t="str">
        <f t="shared" si="96"/>
        <v/>
      </c>
      <c r="O281" s="118" t="str">
        <f t="shared" si="97"/>
        <v/>
      </c>
      <c r="P281" s="292" t="str">
        <f t="shared" si="98"/>
        <v/>
      </c>
      <c r="Q281" s="317" t="str">
        <f t="shared" si="99"/>
        <v/>
      </c>
      <c r="R281" s="31"/>
      <c r="S281" s="409">
        <f t="shared" si="100"/>
        <v>0</v>
      </c>
      <c r="T281" s="409">
        <f t="shared" si="101"/>
        <v>0</v>
      </c>
      <c r="U281" s="428"/>
      <c r="V281" s="31"/>
      <c r="W281" s="80"/>
      <c r="X281" s="80"/>
      <c r="Y281" s="80"/>
      <c r="Z281" s="80"/>
      <c r="AA281" s="80"/>
      <c r="AB281" s="31"/>
      <c r="AC281" s="31"/>
      <c r="AD281" s="31"/>
      <c r="AE281" s="31"/>
      <c r="AK281" s="31"/>
      <c r="AL281" s="31"/>
    </row>
    <row r="282" spans="1:38" x14ac:dyDescent="0.25">
      <c r="A282" s="114" t="str">
        <f t="shared" si="84"/>
        <v/>
      </c>
      <c r="B282" s="265" t="str">
        <f t="shared" si="85"/>
        <v/>
      </c>
      <c r="C282" s="864" t="str">
        <f t="shared" si="86"/>
        <v/>
      </c>
      <c r="D282" s="865"/>
      <c r="E282" s="115" t="str">
        <f t="shared" si="87"/>
        <v/>
      </c>
      <c r="F282" s="279" t="str">
        <f t="shared" si="88"/>
        <v/>
      </c>
      <c r="G282" s="116" t="str">
        <f t="shared" si="89"/>
        <v/>
      </c>
      <c r="H282" s="288" t="str">
        <f t="shared" si="90"/>
        <v/>
      </c>
      <c r="I282" s="318" t="str">
        <f t="shared" si="91"/>
        <v/>
      </c>
      <c r="J282" s="290" t="str">
        <f t="shared" si="92"/>
        <v/>
      </c>
      <c r="K282" s="265" t="str">
        <f t="shared" si="93"/>
        <v/>
      </c>
      <c r="L282" s="131" t="str">
        <f t="shared" si="94"/>
        <v/>
      </c>
      <c r="M282" s="115" t="str">
        <f t="shared" si="95"/>
        <v/>
      </c>
      <c r="N282" s="267" t="str">
        <f t="shared" si="96"/>
        <v/>
      </c>
      <c r="O282" s="118" t="str">
        <f t="shared" si="97"/>
        <v/>
      </c>
      <c r="P282" s="292" t="str">
        <f t="shared" si="98"/>
        <v/>
      </c>
      <c r="Q282" s="317" t="str">
        <f t="shared" si="99"/>
        <v/>
      </c>
      <c r="R282" s="31"/>
      <c r="S282" s="409">
        <f t="shared" si="100"/>
        <v>0</v>
      </c>
      <c r="T282" s="409">
        <f t="shared" si="101"/>
        <v>0</v>
      </c>
      <c r="U282" s="428"/>
      <c r="V282" s="31"/>
      <c r="W282" s="80"/>
      <c r="X282" s="80"/>
      <c r="Y282" s="80"/>
      <c r="Z282" s="80"/>
      <c r="AA282" s="80"/>
      <c r="AB282" s="31"/>
      <c r="AC282" s="31"/>
      <c r="AD282" s="31"/>
      <c r="AE282" s="31"/>
    </row>
    <row r="283" spans="1:38" x14ac:dyDescent="0.25">
      <c r="A283" s="122" t="s">
        <v>50</v>
      </c>
      <c r="B283" s="253"/>
      <c r="C283" s="884">
        <f>SUM(C243:C282)</f>
        <v>0</v>
      </c>
      <c r="D283" s="885"/>
      <c r="E283" s="117">
        <f>SUM(E243:E282)</f>
        <v>0</v>
      </c>
      <c r="F283" s="261"/>
      <c r="G283" s="123">
        <f t="shared" ref="G283" si="104">C283+E283</f>
        <v>0</v>
      </c>
      <c r="H283" s="124"/>
      <c r="I283" s="319"/>
      <c r="J283" s="125" t="s">
        <v>46</v>
      </c>
      <c r="K283" s="250"/>
      <c r="L283" s="117">
        <f>SUM(L243:L282)</f>
        <v>0</v>
      </c>
      <c r="M283" s="117">
        <f>SUM(M243:M282)</f>
        <v>0</v>
      </c>
      <c r="N283" s="117"/>
      <c r="O283" s="117">
        <f t="shared" ref="O283" si="105">L283+M283</f>
        <v>0</v>
      </c>
      <c r="P283" s="31"/>
      <c r="Q283" s="31"/>
      <c r="R283" s="31"/>
      <c r="S283" s="415">
        <f>SUM(S243:S282)</f>
        <v>0</v>
      </c>
      <c r="T283" s="415">
        <f>SUM(T243:T282)</f>
        <v>0</v>
      </c>
      <c r="U283" s="427"/>
      <c r="V283" s="31"/>
      <c r="W283" s="80"/>
      <c r="X283" s="80"/>
      <c r="Y283" s="80"/>
      <c r="Z283" s="80"/>
      <c r="AA283" s="80"/>
      <c r="AB283" s="31"/>
      <c r="AC283" s="31"/>
      <c r="AD283" s="31"/>
      <c r="AE283" s="31"/>
      <c r="AF283" s="30"/>
    </row>
    <row r="284" spans="1:38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84"/>
      <c r="X284" s="84"/>
      <c r="Y284" s="84"/>
      <c r="Z284" s="84"/>
      <c r="AA284" s="84"/>
      <c r="AB284" s="30"/>
      <c r="AC284" s="30"/>
      <c r="AD284" s="30"/>
      <c r="AE284" s="30"/>
      <c r="AF284" s="30"/>
    </row>
    <row r="285" spans="1:38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84"/>
      <c r="X285" s="84"/>
      <c r="Y285" s="84"/>
      <c r="Z285" s="84"/>
      <c r="AA285" s="84"/>
      <c r="AB285" s="30"/>
      <c r="AC285" s="30"/>
      <c r="AD285" s="30"/>
      <c r="AE285" s="30"/>
      <c r="AF285" s="30"/>
    </row>
    <row r="286" spans="1:38" x14ac:dyDescent="0.25">
      <c r="A286" s="877" t="s">
        <v>0</v>
      </c>
      <c r="B286" s="878"/>
      <c r="C286" s="878"/>
      <c r="D286" s="878"/>
      <c r="E286" s="878"/>
      <c r="F286" s="878"/>
      <c r="G286" s="878"/>
      <c r="H286" s="878"/>
      <c r="I286" s="878"/>
      <c r="J286" s="878"/>
      <c r="K286" s="878"/>
      <c r="L286" s="878"/>
      <c r="M286" s="878"/>
      <c r="N286" s="878"/>
      <c r="O286" s="878"/>
      <c r="P286" s="31"/>
      <c r="Q286" s="31"/>
      <c r="R286" s="99" t="s">
        <v>156</v>
      </c>
      <c r="S286" s="31"/>
      <c r="T286" s="31"/>
      <c r="U286" s="31"/>
      <c r="V286" s="31"/>
      <c r="W286" s="80"/>
      <c r="X286" s="80"/>
      <c r="Y286" s="80"/>
      <c r="Z286" s="80"/>
      <c r="AA286" s="80"/>
      <c r="AB286" s="31"/>
      <c r="AC286" s="31"/>
      <c r="AD286" s="31"/>
      <c r="AE286" s="127"/>
      <c r="AF286" s="30"/>
    </row>
    <row r="287" spans="1:38" x14ac:dyDescent="0.25">
      <c r="A287" s="877" t="s">
        <v>154</v>
      </c>
      <c r="B287" s="878"/>
      <c r="C287" s="878"/>
      <c r="D287" s="878"/>
      <c r="E287" s="878"/>
      <c r="F287" s="878"/>
      <c r="G287" s="878"/>
      <c r="H287" s="878"/>
      <c r="I287" s="878"/>
      <c r="J287" s="878"/>
      <c r="K287" s="878"/>
      <c r="L287" s="878"/>
      <c r="M287" s="878"/>
      <c r="N287" s="878"/>
      <c r="O287" s="878"/>
      <c r="P287" s="31"/>
      <c r="Q287" s="31"/>
      <c r="R287" s="84" t="str">
        <f>$R$69</f>
        <v>Year or</v>
      </c>
      <c r="S287" s="31"/>
      <c r="T287" s="31"/>
      <c r="U287" s="31"/>
      <c r="V287" s="31"/>
      <c r="W287" s="80"/>
      <c r="X287" s="80"/>
      <c r="Y287" s="80"/>
      <c r="Z287" s="80"/>
      <c r="AA287" s="80"/>
      <c r="AB287" s="31"/>
      <c r="AC287" s="31"/>
      <c r="AD287" s="31"/>
      <c r="AE287" s="127"/>
      <c r="AF287" s="30"/>
    </row>
    <row r="288" spans="1:38" x14ac:dyDescent="0.25">
      <c r="A288" s="98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31"/>
      <c r="Q288" s="31"/>
      <c r="R288" s="80" t="str">
        <f>$R$70</f>
        <v>Portion of</v>
      </c>
      <c r="S288" s="31"/>
      <c r="T288" s="31"/>
      <c r="U288" s="31"/>
      <c r="V288" s="31"/>
      <c r="W288" s="80"/>
      <c r="X288" s="80"/>
      <c r="Y288" s="80"/>
      <c r="Z288" s="80"/>
      <c r="AA288" s="80"/>
      <c r="AB288" s="31"/>
      <c r="AC288" s="31"/>
      <c r="AD288" s="31"/>
      <c r="AE288" s="127"/>
      <c r="AF288" s="30"/>
    </row>
    <row r="289" spans="1:37" x14ac:dyDescent="0.25">
      <c r="A289" s="31"/>
      <c r="B289" s="87"/>
      <c r="C289" s="87" t="s">
        <v>6</v>
      </c>
      <c r="D289" s="87"/>
      <c r="E289" s="31"/>
      <c r="F289" s="31"/>
      <c r="G289" s="863" t="str">
        <f>IF(totalyrs&gt;9,IF(E5=0,"",E5),"")</f>
        <v/>
      </c>
      <c r="H289" s="863"/>
      <c r="I289" s="863"/>
      <c r="J289" s="863"/>
      <c r="K289" s="863"/>
      <c r="L289" s="863"/>
      <c r="M289" s="31"/>
      <c r="N289" s="31"/>
      <c r="O289" s="31"/>
      <c r="P289" s="31"/>
      <c r="Q289" s="31"/>
      <c r="R289" s="80" t="str">
        <f>$R$71</f>
        <v>a Year</v>
      </c>
      <c r="S289" s="31"/>
      <c r="T289" s="31"/>
      <c r="U289" s="31"/>
      <c r="V289" s="31"/>
      <c r="W289" s="80"/>
      <c r="X289" s="80"/>
      <c r="Y289" s="80"/>
      <c r="Z289" s="80"/>
      <c r="AA289" s="80"/>
      <c r="AB289" s="31"/>
      <c r="AC289" s="31"/>
      <c r="AD289" s="31"/>
      <c r="AE289" s="127"/>
      <c r="AF289" s="30"/>
    </row>
    <row r="290" spans="1:37" x14ac:dyDescent="0.25">
      <c r="A290" s="31"/>
      <c r="B290" s="87"/>
      <c r="C290" s="87" t="s">
        <v>8</v>
      </c>
      <c r="D290" s="87"/>
      <c r="E290" s="31"/>
      <c r="F290" s="31"/>
      <c r="G290" s="863" t="str">
        <f>IF(totalyrs&gt;9,IF(E6=0,"",E6),"")</f>
        <v/>
      </c>
      <c r="H290" s="863"/>
      <c r="I290" s="863"/>
      <c r="J290" s="863"/>
      <c r="K290" s="863"/>
      <c r="L290" s="863"/>
      <c r="M290" s="31"/>
      <c r="N290" s="31"/>
      <c r="O290" s="31"/>
      <c r="P290" s="31"/>
      <c r="Q290" s="31"/>
      <c r="R290" s="119">
        <f>IF(AND(totalyrs&gt;9,totalyrs&lt;10),totalyrs-9,1)</f>
        <v>1</v>
      </c>
      <c r="S290" s="132" t="s">
        <v>157</v>
      </c>
      <c r="T290" s="31"/>
      <c r="U290" s="31"/>
      <c r="V290" s="31"/>
      <c r="W290" s="80"/>
      <c r="X290" s="80"/>
      <c r="Y290" s="80"/>
      <c r="Z290" s="80"/>
      <c r="AA290" s="80"/>
      <c r="AB290" s="31"/>
      <c r="AC290" s="31"/>
      <c r="AD290" s="31"/>
      <c r="AE290" s="127"/>
      <c r="AF290" s="30"/>
    </row>
    <row r="291" spans="1:37" x14ac:dyDescent="0.25">
      <c r="A291" s="31"/>
      <c r="B291" s="87"/>
      <c r="C291" s="87" t="s">
        <v>122</v>
      </c>
      <c r="D291" s="87"/>
      <c r="E291" s="31"/>
      <c r="F291" s="31"/>
      <c r="G291" s="863" t="str">
        <f>IF(totalyrs&gt;9,IF(E7=0,"",E7),"")</f>
        <v/>
      </c>
      <c r="H291" s="863"/>
      <c r="I291" s="863"/>
      <c r="J291" s="863"/>
      <c r="K291" s="863"/>
      <c r="L291" s="863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80"/>
      <c r="X291" s="80"/>
      <c r="Y291" s="80"/>
      <c r="Z291" s="80"/>
      <c r="AA291" s="80"/>
      <c r="AB291" s="31"/>
      <c r="AC291" s="31"/>
      <c r="AD291" s="31"/>
      <c r="AE291" s="127"/>
      <c r="AF291" s="30"/>
    </row>
    <row r="292" spans="1:37" x14ac:dyDescent="0.25">
      <c r="A292" s="31"/>
      <c r="B292" s="87"/>
      <c r="C292" s="87" t="s">
        <v>10</v>
      </c>
      <c r="D292" s="87"/>
      <c r="E292" s="31"/>
      <c r="F292" s="31"/>
      <c r="G292" s="863" t="str">
        <f>IF(totalyrs&gt;9,IF(E8=0,"",E8),"")</f>
        <v/>
      </c>
      <c r="H292" s="863"/>
      <c r="I292" s="863"/>
      <c r="J292" s="863"/>
      <c r="K292" s="863"/>
      <c r="L292" s="863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80"/>
      <c r="X292" s="80"/>
      <c r="Y292" s="80"/>
      <c r="Z292" s="80"/>
      <c r="AA292" s="80"/>
      <c r="AB292" s="31"/>
      <c r="AC292" s="31"/>
      <c r="AD292" s="31"/>
      <c r="AE292" s="31"/>
      <c r="AF292" s="30"/>
    </row>
    <row r="293" spans="1:37" x14ac:dyDescent="0.25">
      <c r="A293" s="31"/>
      <c r="B293" s="87"/>
      <c r="C293" s="87"/>
      <c r="D293" s="87"/>
      <c r="E293" s="31"/>
      <c r="F293" s="31"/>
      <c r="G293" s="128"/>
      <c r="H293" s="128"/>
      <c r="I293" s="124"/>
      <c r="J293" s="30"/>
      <c r="K293" s="124"/>
      <c r="L293" s="124"/>
      <c r="M293" s="124"/>
      <c r="N293" s="31"/>
      <c r="O293" s="31"/>
      <c r="P293" s="80"/>
      <c r="Q293" s="80"/>
      <c r="R293" s="31"/>
      <c r="S293" s="410" t="s">
        <v>155</v>
      </c>
      <c r="V293" s="31"/>
      <c r="W293" s="80"/>
      <c r="X293" s="80"/>
      <c r="Y293" s="80"/>
      <c r="Z293" s="80"/>
      <c r="AA293" s="80"/>
      <c r="AB293" s="31"/>
      <c r="AC293" s="31"/>
      <c r="AD293" s="31"/>
      <c r="AE293" s="31"/>
      <c r="AF293" s="30"/>
    </row>
    <row r="294" spans="1:37" ht="13" x14ac:dyDescent="0.3">
      <c r="A294" s="100"/>
      <c r="B294" s="305" t="s">
        <v>209</v>
      </c>
      <c r="C294" s="830" t="s">
        <v>155</v>
      </c>
      <c r="D294" s="831"/>
      <c r="E294" s="832"/>
      <c r="F294" s="832"/>
      <c r="G294" s="832"/>
      <c r="H294" s="104" t="s">
        <v>236</v>
      </c>
      <c r="I294" s="315" t="s">
        <v>28</v>
      </c>
      <c r="J294" s="30"/>
      <c r="K294" s="30"/>
      <c r="L294" s="30"/>
      <c r="M294" s="30"/>
      <c r="N294" s="30"/>
      <c r="O294" s="30"/>
      <c r="P294" s="30"/>
      <c r="Q294" s="30"/>
      <c r="S294" s="411" t="s">
        <v>276</v>
      </c>
      <c r="V294" s="99"/>
      <c r="W294" s="99"/>
      <c r="X294" s="99"/>
      <c r="Y294" s="99"/>
      <c r="Z294" s="99"/>
      <c r="AA294" s="99"/>
      <c r="AB294" s="99"/>
      <c r="AC294" s="99"/>
      <c r="AD294" s="99"/>
      <c r="AE294" s="31"/>
      <c r="AF294" s="30"/>
    </row>
    <row r="295" spans="1:37" ht="13" x14ac:dyDescent="0.3">
      <c r="A295" s="300" t="s">
        <v>226</v>
      </c>
      <c r="B295" s="301" t="s">
        <v>131</v>
      </c>
      <c r="C295" s="821" t="s">
        <v>29</v>
      </c>
      <c r="D295" s="822"/>
      <c r="E295" s="299"/>
      <c r="F295" s="299" t="s">
        <v>228</v>
      </c>
      <c r="G295" s="295"/>
      <c r="H295" s="107" t="s">
        <v>110</v>
      </c>
      <c r="I295" s="315" t="s">
        <v>132</v>
      </c>
      <c r="J295" s="30"/>
      <c r="K295" s="30"/>
      <c r="L295" s="30"/>
      <c r="M295" s="30"/>
      <c r="N295" s="30"/>
      <c r="O295" s="30"/>
      <c r="P295" s="30"/>
      <c r="Q295" s="30"/>
      <c r="S295" s="411" t="s">
        <v>316</v>
      </c>
      <c r="V295" s="84"/>
      <c r="W295" s="84"/>
      <c r="X295" s="84"/>
      <c r="Y295" s="84"/>
      <c r="Z295" s="84"/>
      <c r="AA295" s="84"/>
      <c r="AB295" s="84"/>
      <c r="AC295" s="84"/>
      <c r="AD295" s="84"/>
      <c r="AE295" s="31"/>
      <c r="AF295" s="30"/>
    </row>
    <row r="296" spans="1:37" ht="13" x14ac:dyDescent="0.3">
      <c r="A296" s="302" t="s">
        <v>225</v>
      </c>
      <c r="B296" s="304" t="s">
        <v>224</v>
      </c>
      <c r="C296" s="847" t="s">
        <v>34</v>
      </c>
      <c r="D296" s="848"/>
      <c r="E296" s="296" t="s">
        <v>30</v>
      </c>
      <c r="F296" s="296" t="s">
        <v>229</v>
      </c>
      <c r="G296" s="296" t="s">
        <v>24</v>
      </c>
      <c r="H296" s="286" t="s">
        <v>33</v>
      </c>
      <c r="I296" s="316" t="s">
        <v>155</v>
      </c>
      <c r="J296" s="30"/>
      <c r="K296" s="30"/>
      <c r="L296" s="30"/>
      <c r="M296" s="30"/>
      <c r="N296" s="30"/>
      <c r="O296" s="30"/>
      <c r="P296" s="30"/>
      <c r="Q296" s="30"/>
      <c r="S296" s="412" t="s">
        <v>301</v>
      </c>
      <c r="V296" s="80"/>
      <c r="W296" s="80"/>
      <c r="X296" s="80"/>
      <c r="Y296" s="80"/>
      <c r="Z296" s="80"/>
      <c r="AA296" s="80"/>
      <c r="AB296" s="80"/>
      <c r="AC296" s="80"/>
      <c r="AD296" s="80"/>
      <c r="AE296" s="31"/>
      <c r="AF296" s="30"/>
    </row>
    <row r="297" spans="1:37" x14ac:dyDescent="0.25">
      <c r="A297" s="114" t="str">
        <f t="shared" ref="A297:A336" si="106">IF(totalyrs&gt;9,IF(A24=0,"",A24),"")</f>
        <v/>
      </c>
      <c r="B297" s="130" t="str">
        <f t="shared" ref="B297:B336" si="107">IFERROR(IF(ROUND(IF(totalyrs&gt;9,((J24*(1+INCREASE)^9)),0),0)=0,"",ROUND(IF(totalyrs&gt;9,((J24*(1+INCREASE)^9)),0),0)),"")</f>
        <v/>
      </c>
      <c r="C297" s="888" t="str">
        <f t="shared" ref="C297:C336" si="108">IFERROR(IF(ROUND(IF(totalyrs&gt;9,IF($F$18="X",(IF(G24*(1+INCREASE)^9&gt;$L$18,(IF(AND(totalyrs&lt;10,MOD(NUMMONTHS,12)&gt;0),((MAXSAL*I297)/12)*MOD(NUMMONTHS,12),MAXSAL*I297)),(G24*I297*yr10percent*(1+INCREASE)^9))),(G24*I297*yr10percent*(1+INCREASE)^9)),0),0)=0,"",ROUND(IF(totalyrs&gt;9,IF($F$18="X",(IF(G24*(1+INCREASE)^9&gt;$L$18,(IF(AND(totalyrs&lt;10,MOD(NUMMONTHS,12)&gt;0),((MAXSAL*I297)/12)*MOD(NUMMONTHS,12),MAXSAL*I297)),(G24*I297*yr10percent*(1+INCREASE)^9))),(G24*I297*yr10percent*(1+INCREASE)^9)),0),0)),"")</f>
        <v/>
      </c>
      <c r="D297" s="865"/>
      <c r="E297" s="115" t="str">
        <f t="shared" ref="E297:E336" si="109">IFERROR(IF(IF(H297=0,0,ROUND(IF(P24="G",(C297*L24)+(R24*1.45),IF(Q24&gt;0,C297*L24,C297*(Year1Weight*VLOOKUP(P24,FringeTable,11,FALSE)+Year2Weight*VLOOKUP(P24,FringeTable,12,FALSE)+Year3Weight*VLOOKUP(P24,FringeTable,13,FALSE)))),0))=0,"",IF(H297=0,0,ROUND(IF(P24="G",(C297*L24)+(R24*1.45),IF(Q24&gt;0,C297*L24,C297*(Year1Weight*VLOOKUP(P24,FringeTable,11,FALSE)+Year2Weight*VLOOKUP(P24,FringeTable,12,FALSE)+Year3Weight*VLOOKUP(P24,FringeTable,13,FALSE)))),0))),"")</f>
        <v/>
      </c>
      <c r="F297" s="267" t="str">
        <f t="shared" ref="F297:F336" si="110">IFERROR(IF(SUM(H297*D24)*C24=0,"",SUM(H297*D24)*C24),"")</f>
        <v/>
      </c>
      <c r="G297" s="116" t="str">
        <f t="shared" ref="G297:G336" si="111">IFERROR(C297+E297,"")</f>
        <v/>
      </c>
      <c r="H297" s="185" t="str">
        <f t="shared" ref="H297:H336" si="112">IF(IF(totalyrs&gt;9,(P243),0)=0,"",IF(totalyrs&gt;9,(P243),0))</f>
        <v/>
      </c>
      <c r="I297" s="320" t="str">
        <f t="shared" ref="I297:I336" si="113">IFERROR(H297*D24/12*C24,"")</f>
        <v/>
      </c>
      <c r="J297" s="30"/>
      <c r="K297" s="30"/>
      <c r="L297" s="30"/>
      <c r="M297" s="30"/>
      <c r="N297" s="30"/>
      <c r="O297" s="30"/>
      <c r="P297" s="30"/>
      <c r="Q297" s="30"/>
      <c r="S297" s="409">
        <f>IFERROR(IF((E24*$L$17*((1+$L$16)^9))&gt;$L$18,(((E24*$L$17*((1+$L$16)^9))-$L$18)*H297*(1+L24)),0),"")</f>
        <v>0</v>
      </c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31"/>
      <c r="AG297" s="31"/>
      <c r="AK297" s="31"/>
    </row>
    <row r="298" spans="1:37" x14ac:dyDescent="0.25">
      <c r="A298" s="114" t="str">
        <f t="shared" si="106"/>
        <v/>
      </c>
      <c r="B298" s="130" t="str">
        <f t="shared" si="107"/>
        <v/>
      </c>
      <c r="C298" s="888" t="str">
        <f t="shared" si="108"/>
        <v/>
      </c>
      <c r="D298" s="865"/>
      <c r="E298" s="115" t="str">
        <f t="shared" si="109"/>
        <v/>
      </c>
      <c r="F298" s="267" t="str">
        <f t="shared" si="110"/>
        <v/>
      </c>
      <c r="G298" s="116" t="str">
        <f t="shared" si="111"/>
        <v/>
      </c>
      <c r="H298" s="185" t="str">
        <f t="shared" si="112"/>
        <v/>
      </c>
      <c r="I298" s="320" t="str">
        <f t="shared" si="113"/>
        <v/>
      </c>
      <c r="J298" s="30"/>
      <c r="K298" s="30"/>
      <c r="L298" s="30"/>
      <c r="M298" s="30"/>
      <c r="N298" s="30"/>
      <c r="O298" s="30"/>
      <c r="P298" s="30"/>
      <c r="Q298" s="30"/>
      <c r="S298" s="409">
        <f t="shared" ref="S298:S336" si="114">IFERROR(IF((E25*$L$17*((1+$L$16)^9))&gt;$L$18,(((E25*$L$17*((1+$L$16)^9))-$L$18)*H298*(1+L25)),0),"")</f>
        <v>0</v>
      </c>
      <c r="T298" s="132"/>
      <c r="U298" s="132"/>
      <c r="V298" s="132"/>
      <c r="W298" s="530"/>
      <c r="X298" s="530"/>
      <c r="Y298" s="530"/>
      <c r="Z298" s="530"/>
      <c r="AA298" s="530"/>
      <c r="AB298" s="132"/>
      <c r="AC298" s="132"/>
      <c r="AD298" s="132"/>
      <c r="AK298" s="31"/>
    </row>
    <row r="299" spans="1:37" x14ac:dyDescent="0.25">
      <c r="A299" s="114" t="str">
        <f t="shared" si="106"/>
        <v/>
      </c>
      <c r="B299" s="130" t="str">
        <f t="shared" si="107"/>
        <v/>
      </c>
      <c r="C299" s="888" t="str">
        <f t="shared" si="108"/>
        <v/>
      </c>
      <c r="D299" s="865"/>
      <c r="E299" s="115" t="str">
        <f t="shared" si="109"/>
        <v/>
      </c>
      <c r="F299" s="267" t="str">
        <f t="shared" si="110"/>
        <v/>
      </c>
      <c r="G299" s="116" t="str">
        <f t="shared" si="111"/>
        <v/>
      </c>
      <c r="H299" s="185" t="str">
        <f t="shared" si="112"/>
        <v/>
      </c>
      <c r="I299" s="320" t="str">
        <f t="shared" si="113"/>
        <v/>
      </c>
      <c r="J299" s="30"/>
      <c r="K299" s="30"/>
      <c r="L299" s="30"/>
      <c r="M299" s="30"/>
      <c r="N299" s="30"/>
      <c r="O299" s="30"/>
      <c r="P299" s="30"/>
      <c r="Q299" s="30"/>
      <c r="R299" s="119"/>
      <c r="S299" s="409">
        <f t="shared" si="114"/>
        <v>0</v>
      </c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20"/>
      <c r="AK299" s="31"/>
    </row>
    <row r="300" spans="1:37" x14ac:dyDescent="0.25">
      <c r="A300" s="114" t="str">
        <f t="shared" si="106"/>
        <v/>
      </c>
      <c r="B300" s="130" t="str">
        <f t="shared" si="107"/>
        <v/>
      </c>
      <c r="C300" s="888" t="str">
        <f t="shared" si="108"/>
        <v/>
      </c>
      <c r="D300" s="865"/>
      <c r="E300" s="115" t="str">
        <f t="shared" si="109"/>
        <v/>
      </c>
      <c r="F300" s="267" t="str">
        <f t="shared" si="110"/>
        <v/>
      </c>
      <c r="G300" s="116" t="str">
        <f t="shared" si="111"/>
        <v/>
      </c>
      <c r="H300" s="185" t="str">
        <f t="shared" si="112"/>
        <v/>
      </c>
      <c r="I300" s="320" t="str">
        <f t="shared" si="113"/>
        <v/>
      </c>
      <c r="J300" s="30"/>
      <c r="K300" s="30"/>
      <c r="L300" s="30"/>
      <c r="M300" s="30"/>
      <c r="N300" s="30"/>
      <c r="O300" s="30"/>
      <c r="P300" s="30"/>
      <c r="Q300" s="30"/>
      <c r="R300" s="80"/>
      <c r="S300" s="409">
        <f t="shared" si="114"/>
        <v>0</v>
      </c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31"/>
      <c r="AK300" s="31"/>
    </row>
    <row r="301" spans="1:37" x14ac:dyDescent="0.25">
      <c r="A301" s="114" t="str">
        <f t="shared" ref="A301:A307" si="115">IF(totalyrs&gt;9,IF(A28=0,"",A28),"")</f>
        <v/>
      </c>
      <c r="B301" s="130" t="str">
        <f t="shared" si="107"/>
        <v/>
      </c>
      <c r="C301" s="888" t="str">
        <f t="shared" si="108"/>
        <v/>
      </c>
      <c r="D301" s="865"/>
      <c r="E301" s="115" t="str">
        <f t="shared" si="109"/>
        <v/>
      </c>
      <c r="F301" s="267" t="str">
        <f t="shared" si="110"/>
        <v/>
      </c>
      <c r="G301" s="116" t="str">
        <f t="shared" si="111"/>
        <v/>
      </c>
      <c r="H301" s="185" t="str">
        <f t="shared" si="112"/>
        <v/>
      </c>
      <c r="I301" s="320" t="str">
        <f t="shared" si="113"/>
        <v/>
      </c>
      <c r="J301" s="30"/>
      <c r="K301" s="30"/>
      <c r="L301" s="30"/>
      <c r="M301" s="30"/>
      <c r="N301" s="30"/>
      <c r="O301" s="30"/>
      <c r="P301" s="30"/>
      <c r="Q301" s="30"/>
      <c r="R301" s="80"/>
      <c r="S301" s="409">
        <f t="shared" si="114"/>
        <v>0</v>
      </c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31"/>
      <c r="AK301" s="31"/>
    </row>
    <row r="302" spans="1:37" x14ac:dyDescent="0.25">
      <c r="A302" s="114" t="str">
        <f t="shared" si="115"/>
        <v/>
      </c>
      <c r="B302" s="130" t="str">
        <f t="shared" si="107"/>
        <v/>
      </c>
      <c r="C302" s="888" t="str">
        <f t="shared" si="108"/>
        <v/>
      </c>
      <c r="D302" s="865"/>
      <c r="E302" s="115" t="str">
        <f t="shared" si="109"/>
        <v/>
      </c>
      <c r="F302" s="267" t="str">
        <f t="shared" si="110"/>
        <v/>
      </c>
      <c r="G302" s="116" t="str">
        <f t="shared" si="111"/>
        <v/>
      </c>
      <c r="H302" s="185" t="str">
        <f t="shared" si="112"/>
        <v/>
      </c>
      <c r="I302" s="320" t="str">
        <f t="shared" si="113"/>
        <v/>
      </c>
      <c r="J302" s="30"/>
      <c r="K302" s="30"/>
      <c r="L302" s="30"/>
      <c r="M302" s="30"/>
      <c r="N302" s="30"/>
      <c r="O302" s="30"/>
      <c r="P302" s="30"/>
      <c r="Q302" s="30"/>
      <c r="R302" s="80"/>
      <c r="S302" s="409">
        <f t="shared" si="114"/>
        <v>0</v>
      </c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31"/>
      <c r="AK302" s="31"/>
    </row>
    <row r="303" spans="1:37" x14ac:dyDescent="0.25">
      <c r="A303" s="114" t="str">
        <f t="shared" si="115"/>
        <v/>
      </c>
      <c r="B303" s="130" t="str">
        <f t="shared" si="107"/>
        <v/>
      </c>
      <c r="C303" s="888" t="str">
        <f t="shared" si="108"/>
        <v/>
      </c>
      <c r="D303" s="865"/>
      <c r="E303" s="115" t="str">
        <f t="shared" si="109"/>
        <v/>
      </c>
      <c r="F303" s="267" t="str">
        <f t="shared" si="110"/>
        <v/>
      </c>
      <c r="G303" s="116" t="str">
        <f t="shared" si="111"/>
        <v/>
      </c>
      <c r="H303" s="185" t="str">
        <f t="shared" si="112"/>
        <v/>
      </c>
      <c r="I303" s="320" t="str">
        <f t="shared" si="113"/>
        <v/>
      </c>
      <c r="J303" s="30"/>
      <c r="K303" s="30"/>
      <c r="L303" s="30"/>
      <c r="M303" s="30"/>
      <c r="N303" s="30"/>
      <c r="O303" s="30"/>
      <c r="P303" s="30"/>
      <c r="Q303" s="30"/>
      <c r="R303" s="80"/>
      <c r="S303" s="409">
        <f t="shared" si="114"/>
        <v>0</v>
      </c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31"/>
      <c r="AK303" s="31"/>
    </row>
    <row r="304" spans="1:37" x14ac:dyDescent="0.25">
      <c r="A304" s="114" t="str">
        <f t="shared" si="115"/>
        <v/>
      </c>
      <c r="B304" s="130" t="str">
        <f t="shared" si="107"/>
        <v/>
      </c>
      <c r="C304" s="888" t="str">
        <f t="shared" si="108"/>
        <v/>
      </c>
      <c r="D304" s="865"/>
      <c r="E304" s="115" t="str">
        <f t="shared" si="109"/>
        <v/>
      </c>
      <c r="F304" s="267" t="str">
        <f t="shared" si="110"/>
        <v/>
      </c>
      <c r="G304" s="116" t="str">
        <f t="shared" si="111"/>
        <v/>
      </c>
      <c r="H304" s="185" t="str">
        <f t="shared" si="112"/>
        <v/>
      </c>
      <c r="I304" s="320" t="str">
        <f t="shared" si="113"/>
        <v/>
      </c>
      <c r="J304" s="30"/>
      <c r="K304" s="30"/>
      <c r="L304" s="30"/>
      <c r="M304" s="30"/>
      <c r="N304" s="30"/>
      <c r="O304" s="30"/>
      <c r="P304" s="30"/>
      <c r="Q304" s="30"/>
      <c r="R304" s="80"/>
      <c r="S304" s="409">
        <f t="shared" si="114"/>
        <v>0</v>
      </c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31"/>
      <c r="AK304" s="31"/>
    </row>
    <row r="305" spans="1:37" x14ac:dyDescent="0.25">
      <c r="A305" s="114" t="str">
        <f t="shared" si="115"/>
        <v/>
      </c>
      <c r="B305" s="130" t="str">
        <f t="shared" si="107"/>
        <v/>
      </c>
      <c r="C305" s="888" t="str">
        <f t="shared" si="108"/>
        <v/>
      </c>
      <c r="D305" s="865"/>
      <c r="E305" s="115" t="str">
        <f t="shared" si="109"/>
        <v/>
      </c>
      <c r="F305" s="267" t="str">
        <f t="shared" si="110"/>
        <v/>
      </c>
      <c r="G305" s="116" t="str">
        <f t="shared" si="111"/>
        <v/>
      </c>
      <c r="H305" s="185" t="str">
        <f t="shared" si="112"/>
        <v/>
      </c>
      <c r="I305" s="320" t="str">
        <f t="shared" si="113"/>
        <v/>
      </c>
      <c r="J305" s="30"/>
      <c r="K305" s="30"/>
      <c r="L305" s="30"/>
      <c r="M305" s="30"/>
      <c r="N305" s="30"/>
      <c r="O305" s="30"/>
      <c r="P305" s="30"/>
      <c r="Q305" s="30"/>
      <c r="R305" s="80"/>
      <c r="S305" s="409">
        <f t="shared" si="114"/>
        <v>0</v>
      </c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31"/>
      <c r="AK305" s="31"/>
    </row>
    <row r="306" spans="1:37" x14ac:dyDescent="0.25">
      <c r="A306" s="114" t="str">
        <f t="shared" si="115"/>
        <v/>
      </c>
      <c r="B306" s="130" t="str">
        <f t="shared" si="107"/>
        <v/>
      </c>
      <c r="C306" s="888" t="str">
        <f t="shared" si="108"/>
        <v/>
      </c>
      <c r="D306" s="865"/>
      <c r="E306" s="115" t="str">
        <f t="shared" si="109"/>
        <v/>
      </c>
      <c r="F306" s="267" t="str">
        <f t="shared" si="110"/>
        <v/>
      </c>
      <c r="G306" s="116" t="str">
        <f t="shared" si="111"/>
        <v/>
      </c>
      <c r="H306" s="185" t="str">
        <f t="shared" si="112"/>
        <v/>
      </c>
      <c r="I306" s="320" t="str">
        <f t="shared" si="113"/>
        <v/>
      </c>
      <c r="J306" s="30"/>
      <c r="K306" s="30"/>
      <c r="L306" s="30"/>
      <c r="M306" s="30"/>
      <c r="N306" s="30"/>
      <c r="O306" s="30"/>
      <c r="P306" s="30"/>
      <c r="Q306" s="30"/>
      <c r="R306" s="80"/>
      <c r="S306" s="409">
        <f t="shared" si="114"/>
        <v>0</v>
      </c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31"/>
      <c r="AK306" s="31"/>
    </row>
    <row r="307" spans="1:37" x14ac:dyDescent="0.25">
      <c r="A307" s="114" t="str">
        <f t="shared" si="115"/>
        <v/>
      </c>
      <c r="B307" s="130" t="str">
        <f t="shared" si="107"/>
        <v/>
      </c>
      <c r="C307" s="888" t="str">
        <f t="shared" si="108"/>
        <v/>
      </c>
      <c r="D307" s="865"/>
      <c r="E307" s="115" t="str">
        <f t="shared" si="109"/>
        <v/>
      </c>
      <c r="F307" s="267" t="str">
        <f t="shared" si="110"/>
        <v/>
      </c>
      <c r="G307" s="116" t="str">
        <f t="shared" si="111"/>
        <v/>
      </c>
      <c r="H307" s="185" t="str">
        <f t="shared" si="112"/>
        <v/>
      </c>
      <c r="I307" s="320" t="str">
        <f t="shared" si="113"/>
        <v/>
      </c>
      <c r="J307" s="30"/>
      <c r="K307" s="30"/>
      <c r="L307" s="30"/>
      <c r="M307" s="30"/>
      <c r="N307" s="30"/>
      <c r="O307" s="30"/>
      <c r="P307" s="30"/>
      <c r="Q307" s="30"/>
      <c r="R307" s="80"/>
      <c r="S307" s="409">
        <f t="shared" si="114"/>
        <v>0</v>
      </c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31"/>
      <c r="AK307" s="31"/>
    </row>
    <row r="308" spans="1:37" x14ac:dyDescent="0.25">
      <c r="A308" s="114" t="str">
        <f t="shared" si="106"/>
        <v/>
      </c>
      <c r="B308" s="130" t="str">
        <f t="shared" si="107"/>
        <v/>
      </c>
      <c r="C308" s="888" t="str">
        <f t="shared" si="108"/>
        <v/>
      </c>
      <c r="D308" s="865"/>
      <c r="E308" s="115" t="str">
        <f t="shared" si="109"/>
        <v/>
      </c>
      <c r="F308" s="267" t="str">
        <f t="shared" si="110"/>
        <v/>
      </c>
      <c r="G308" s="116" t="str">
        <f t="shared" si="111"/>
        <v/>
      </c>
      <c r="H308" s="185" t="str">
        <f t="shared" si="112"/>
        <v/>
      </c>
      <c r="I308" s="320" t="str">
        <f t="shared" si="113"/>
        <v/>
      </c>
      <c r="J308" s="30"/>
      <c r="K308" s="30"/>
      <c r="L308" s="30"/>
      <c r="M308" s="30"/>
      <c r="N308" s="30"/>
      <c r="O308" s="30"/>
      <c r="P308" s="30"/>
      <c r="Q308" s="30"/>
      <c r="R308" s="30"/>
      <c r="S308" s="409">
        <f t="shared" si="114"/>
        <v>0</v>
      </c>
      <c r="T308" s="30"/>
      <c r="U308" s="30"/>
      <c r="V308" s="30"/>
      <c r="W308" s="84"/>
      <c r="X308" s="84"/>
      <c r="Y308" s="84"/>
      <c r="Z308" s="84"/>
      <c r="AA308" s="84"/>
      <c r="AB308" s="30"/>
      <c r="AC308" s="30"/>
      <c r="AD308" s="30"/>
      <c r="AE308" s="30"/>
      <c r="AK308" s="31"/>
    </row>
    <row r="309" spans="1:37" x14ac:dyDescent="0.25">
      <c r="A309" s="114" t="str">
        <f t="shared" si="106"/>
        <v/>
      </c>
      <c r="B309" s="130" t="str">
        <f t="shared" si="107"/>
        <v/>
      </c>
      <c r="C309" s="888" t="str">
        <f t="shared" si="108"/>
        <v/>
      </c>
      <c r="D309" s="865"/>
      <c r="E309" s="115" t="str">
        <f t="shared" si="109"/>
        <v/>
      </c>
      <c r="F309" s="267" t="str">
        <f t="shared" si="110"/>
        <v/>
      </c>
      <c r="G309" s="116" t="str">
        <f t="shared" si="111"/>
        <v/>
      </c>
      <c r="H309" s="185" t="str">
        <f t="shared" si="112"/>
        <v/>
      </c>
      <c r="I309" s="320" t="str">
        <f t="shared" si="113"/>
        <v/>
      </c>
      <c r="J309" s="30"/>
      <c r="K309" s="30"/>
      <c r="L309" s="30"/>
      <c r="M309" s="30"/>
      <c r="N309" s="30"/>
      <c r="O309" s="30"/>
      <c r="P309" s="30"/>
      <c r="Q309" s="30"/>
      <c r="R309" s="30"/>
      <c r="S309" s="409">
        <f t="shared" si="114"/>
        <v>0</v>
      </c>
      <c r="T309" s="30"/>
      <c r="U309" s="30"/>
      <c r="V309" s="30"/>
      <c r="W309" s="84"/>
      <c r="X309" s="84"/>
      <c r="Y309" s="84"/>
      <c r="Z309" s="84"/>
      <c r="AA309" s="84"/>
      <c r="AB309" s="30"/>
      <c r="AC309" s="30"/>
      <c r="AD309" s="30"/>
      <c r="AE309" s="30"/>
      <c r="AK309" s="31"/>
    </row>
    <row r="310" spans="1:37" x14ac:dyDescent="0.25">
      <c r="A310" s="114" t="str">
        <f t="shared" si="106"/>
        <v/>
      </c>
      <c r="B310" s="130" t="str">
        <f t="shared" si="107"/>
        <v/>
      </c>
      <c r="C310" s="888" t="str">
        <f t="shared" si="108"/>
        <v/>
      </c>
      <c r="D310" s="865"/>
      <c r="E310" s="115" t="str">
        <f t="shared" si="109"/>
        <v/>
      </c>
      <c r="F310" s="267" t="str">
        <f t="shared" si="110"/>
        <v/>
      </c>
      <c r="G310" s="116" t="str">
        <f t="shared" si="111"/>
        <v/>
      </c>
      <c r="H310" s="185" t="str">
        <f t="shared" si="112"/>
        <v/>
      </c>
      <c r="I310" s="320" t="str">
        <f t="shared" si="113"/>
        <v/>
      </c>
      <c r="J310" s="30"/>
      <c r="K310" s="30"/>
      <c r="L310" s="30"/>
      <c r="M310" s="30"/>
      <c r="N310" s="30"/>
      <c r="O310" s="30"/>
      <c r="P310" s="30"/>
      <c r="Q310" s="30"/>
      <c r="R310" s="30"/>
      <c r="S310" s="409">
        <f t="shared" si="114"/>
        <v>0</v>
      </c>
      <c r="T310" s="30"/>
      <c r="U310" s="30"/>
      <c r="V310" s="30"/>
      <c r="W310" s="84"/>
      <c r="X310" s="84"/>
      <c r="Y310" s="84"/>
      <c r="Z310" s="84"/>
      <c r="AA310" s="84"/>
      <c r="AB310" s="30"/>
      <c r="AC310" s="30"/>
      <c r="AD310" s="30"/>
      <c r="AE310" s="30"/>
      <c r="AK310" s="31"/>
    </row>
    <row r="311" spans="1:37" x14ac:dyDescent="0.25">
      <c r="A311" s="114" t="str">
        <f t="shared" si="106"/>
        <v/>
      </c>
      <c r="B311" s="130" t="str">
        <f t="shared" si="107"/>
        <v/>
      </c>
      <c r="C311" s="888" t="str">
        <f t="shared" si="108"/>
        <v/>
      </c>
      <c r="D311" s="865"/>
      <c r="E311" s="115" t="str">
        <f t="shared" si="109"/>
        <v/>
      </c>
      <c r="F311" s="267" t="str">
        <f t="shared" si="110"/>
        <v/>
      </c>
      <c r="G311" s="116" t="str">
        <f t="shared" si="111"/>
        <v/>
      </c>
      <c r="H311" s="185" t="str">
        <f t="shared" si="112"/>
        <v/>
      </c>
      <c r="I311" s="320" t="str">
        <f t="shared" si="113"/>
        <v/>
      </c>
      <c r="J311" s="30"/>
      <c r="K311" s="30"/>
      <c r="L311" s="30"/>
      <c r="M311" s="30"/>
      <c r="N311" s="30"/>
      <c r="O311" s="30"/>
      <c r="P311" s="30"/>
      <c r="Q311" s="30"/>
      <c r="R311" s="31"/>
      <c r="S311" s="409">
        <f t="shared" si="114"/>
        <v>0</v>
      </c>
      <c r="T311" s="31"/>
      <c r="U311" s="31"/>
      <c r="V311" s="31"/>
      <c r="W311" s="80"/>
      <c r="X311" s="80"/>
      <c r="Y311" s="80"/>
      <c r="Z311" s="80"/>
      <c r="AA311" s="80"/>
      <c r="AB311" s="31"/>
      <c r="AC311" s="31"/>
      <c r="AD311" s="31"/>
      <c r="AE311" s="31"/>
      <c r="AK311" s="31"/>
    </row>
    <row r="312" spans="1:37" x14ac:dyDescent="0.25">
      <c r="A312" s="114" t="str">
        <f t="shared" si="106"/>
        <v/>
      </c>
      <c r="B312" s="130" t="str">
        <f t="shared" si="107"/>
        <v/>
      </c>
      <c r="C312" s="888" t="str">
        <f t="shared" si="108"/>
        <v/>
      </c>
      <c r="D312" s="865"/>
      <c r="E312" s="115" t="str">
        <f t="shared" si="109"/>
        <v/>
      </c>
      <c r="F312" s="267" t="str">
        <f t="shared" si="110"/>
        <v/>
      </c>
      <c r="G312" s="116" t="str">
        <f t="shared" si="111"/>
        <v/>
      </c>
      <c r="H312" s="185" t="str">
        <f t="shared" si="112"/>
        <v/>
      </c>
      <c r="I312" s="320" t="str">
        <f t="shared" si="113"/>
        <v/>
      </c>
      <c r="J312" s="30"/>
      <c r="K312" s="30"/>
      <c r="L312" s="30"/>
      <c r="M312" s="30"/>
      <c r="N312" s="30"/>
      <c r="O312" s="30"/>
      <c r="P312" s="30"/>
      <c r="Q312" s="30"/>
      <c r="R312" s="31"/>
      <c r="S312" s="409">
        <f t="shared" si="114"/>
        <v>0</v>
      </c>
      <c r="T312" s="31"/>
      <c r="U312" s="31"/>
      <c r="V312" s="31"/>
      <c r="W312" s="80"/>
      <c r="X312" s="80"/>
      <c r="Y312" s="80"/>
      <c r="Z312" s="80"/>
      <c r="AA312" s="80"/>
      <c r="AB312" s="31"/>
      <c r="AC312" s="31"/>
      <c r="AD312" s="31"/>
      <c r="AE312" s="31"/>
      <c r="AK312" s="31"/>
    </row>
    <row r="313" spans="1:37" x14ac:dyDescent="0.25">
      <c r="A313" s="114" t="str">
        <f t="shared" si="106"/>
        <v/>
      </c>
      <c r="B313" s="130" t="str">
        <f t="shared" si="107"/>
        <v/>
      </c>
      <c r="C313" s="888" t="str">
        <f t="shared" si="108"/>
        <v/>
      </c>
      <c r="D313" s="865"/>
      <c r="E313" s="115" t="str">
        <f t="shared" si="109"/>
        <v/>
      </c>
      <c r="F313" s="267" t="str">
        <f t="shared" si="110"/>
        <v/>
      </c>
      <c r="G313" s="116" t="str">
        <f t="shared" si="111"/>
        <v/>
      </c>
      <c r="H313" s="185" t="str">
        <f t="shared" si="112"/>
        <v/>
      </c>
      <c r="I313" s="320" t="str">
        <f t="shared" si="113"/>
        <v/>
      </c>
      <c r="J313" s="30"/>
      <c r="K313" s="30"/>
      <c r="L313" s="30"/>
      <c r="M313" s="30"/>
      <c r="N313" s="30"/>
      <c r="O313" s="30"/>
      <c r="P313" s="30"/>
      <c r="Q313" s="30"/>
      <c r="R313" s="31"/>
      <c r="S313" s="409">
        <f t="shared" si="114"/>
        <v>0</v>
      </c>
      <c r="T313" s="31"/>
      <c r="U313" s="31"/>
      <c r="V313" s="31"/>
      <c r="W313" s="80"/>
      <c r="X313" s="80"/>
      <c r="Y313" s="80"/>
      <c r="Z313" s="80"/>
      <c r="AA313" s="80"/>
      <c r="AB313" s="31"/>
      <c r="AC313" s="31"/>
      <c r="AD313" s="31"/>
      <c r="AE313" s="31"/>
      <c r="AK313" s="31"/>
    </row>
    <row r="314" spans="1:37" x14ac:dyDescent="0.25">
      <c r="A314" s="114" t="str">
        <f t="shared" si="106"/>
        <v/>
      </c>
      <c r="B314" s="130" t="str">
        <f t="shared" si="107"/>
        <v/>
      </c>
      <c r="C314" s="888" t="str">
        <f t="shared" si="108"/>
        <v/>
      </c>
      <c r="D314" s="865"/>
      <c r="E314" s="115" t="str">
        <f t="shared" si="109"/>
        <v/>
      </c>
      <c r="F314" s="267" t="str">
        <f t="shared" si="110"/>
        <v/>
      </c>
      <c r="G314" s="116" t="str">
        <f t="shared" si="111"/>
        <v/>
      </c>
      <c r="H314" s="185" t="str">
        <f t="shared" si="112"/>
        <v/>
      </c>
      <c r="I314" s="320" t="str">
        <f t="shared" si="113"/>
        <v/>
      </c>
      <c r="J314" s="30"/>
      <c r="K314" s="30"/>
      <c r="L314" s="30"/>
      <c r="M314" s="30"/>
      <c r="N314" s="30"/>
      <c r="O314" s="30"/>
      <c r="P314" s="30"/>
      <c r="Q314" s="30"/>
      <c r="R314" s="31"/>
      <c r="S314" s="409">
        <f t="shared" si="114"/>
        <v>0</v>
      </c>
      <c r="T314" s="31"/>
      <c r="U314" s="31"/>
      <c r="V314" s="31"/>
      <c r="W314" s="80"/>
      <c r="X314" s="80"/>
      <c r="Y314" s="80"/>
      <c r="Z314" s="80"/>
      <c r="AA314" s="80"/>
      <c r="AB314" s="31"/>
      <c r="AC314" s="31"/>
      <c r="AD314" s="31"/>
      <c r="AE314" s="31"/>
      <c r="AK314" s="31"/>
    </row>
    <row r="315" spans="1:37" x14ac:dyDescent="0.25">
      <c r="A315" s="114" t="str">
        <f t="shared" si="106"/>
        <v/>
      </c>
      <c r="B315" s="130" t="str">
        <f t="shared" si="107"/>
        <v/>
      </c>
      <c r="C315" s="888" t="str">
        <f t="shared" si="108"/>
        <v/>
      </c>
      <c r="D315" s="865"/>
      <c r="E315" s="115" t="str">
        <f t="shared" si="109"/>
        <v/>
      </c>
      <c r="F315" s="267" t="str">
        <f t="shared" si="110"/>
        <v/>
      </c>
      <c r="G315" s="116" t="str">
        <f t="shared" si="111"/>
        <v/>
      </c>
      <c r="H315" s="185" t="str">
        <f t="shared" si="112"/>
        <v/>
      </c>
      <c r="I315" s="320" t="str">
        <f t="shared" si="113"/>
        <v/>
      </c>
      <c r="J315" s="30"/>
      <c r="K315" s="30"/>
      <c r="L315" s="30"/>
      <c r="M315" s="30"/>
      <c r="N315" s="30"/>
      <c r="O315" s="30"/>
      <c r="P315" s="30"/>
      <c r="Q315" s="30"/>
      <c r="R315" s="31"/>
      <c r="S315" s="409">
        <f t="shared" si="114"/>
        <v>0</v>
      </c>
      <c r="T315" s="31"/>
      <c r="U315" s="31"/>
      <c r="V315" s="31"/>
      <c r="W315" s="80"/>
      <c r="X315" s="80"/>
      <c r="Y315" s="80"/>
      <c r="Z315" s="80"/>
      <c r="AA315" s="80"/>
      <c r="AB315" s="31"/>
      <c r="AC315" s="31"/>
      <c r="AD315" s="31"/>
      <c r="AE315" s="31"/>
      <c r="AK315" s="31"/>
    </row>
    <row r="316" spans="1:37" x14ac:dyDescent="0.25">
      <c r="A316" s="114" t="str">
        <f t="shared" si="106"/>
        <v/>
      </c>
      <c r="B316" s="130" t="str">
        <f t="shared" si="107"/>
        <v/>
      </c>
      <c r="C316" s="888" t="str">
        <f t="shared" si="108"/>
        <v/>
      </c>
      <c r="D316" s="865"/>
      <c r="E316" s="115" t="str">
        <f t="shared" si="109"/>
        <v/>
      </c>
      <c r="F316" s="267" t="str">
        <f t="shared" si="110"/>
        <v/>
      </c>
      <c r="G316" s="116" t="str">
        <f t="shared" si="111"/>
        <v/>
      </c>
      <c r="H316" s="185" t="str">
        <f t="shared" si="112"/>
        <v/>
      </c>
      <c r="I316" s="320" t="str">
        <f t="shared" si="113"/>
        <v/>
      </c>
      <c r="J316" s="30"/>
      <c r="K316" s="30"/>
      <c r="L316" s="30"/>
      <c r="M316" s="30"/>
      <c r="N316" s="30"/>
      <c r="O316" s="30"/>
      <c r="P316" s="30"/>
      <c r="Q316" s="30"/>
      <c r="R316" s="31"/>
      <c r="S316" s="409">
        <f t="shared" si="114"/>
        <v>0</v>
      </c>
      <c r="T316" s="31"/>
      <c r="U316" s="31"/>
      <c r="V316" s="31"/>
      <c r="W316" s="80"/>
      <c r="X316" s="80"/>
      <c r="Y316" s="80"/>
      <c r="Z316" s="80"/>
      <c r="AA316" s="80"/>
      <c r="AB316" s="31"/>
      <c r="AC316" s="31"/>
      <c r="AD316" s="31"/>
      <c r="AE316" s="31"/>
      <c r="AK316" s="31"/>
    </row>
    <row r="317" spans="1:37" x14ac:dyDescent="0.25">
      <c r="A317" s="114" t="str">
        <f t="shared" si="106"/>
        <v/>
      </c>
      <c r="B317" s="130" t="str">
        <f t="shared" si="107"/>
        <v/>
      </c>
      <c r="C317" s="888" t="str">
        <f t="shared" si="108"/>
        <v/>
      </c>
      <c r="D317" s="865"/>
      <c r="E317" s="115" t="str">
        <f t="shared" si="109"/>
        <v/>
      </c>
      <c r="F317" s="267" t="str">
        <f t="shared" si="110"/>
        <v/>
      </c>
      <c r="G317" s="116" t="str">
        <f t="shared" si="111"/>
        <v/>
      </c>
      <c r="H317" s="185" t="str">
        <f t="shared" si="112"/>
        <v/>
      </c>
      <c r="I317" s="320" t="str">
        <f t="shared" si="113"/>
        <v/>
      </c>
      <c r="J317" s="30"/>
      <c r="K317" s="30"/>
      <c r="L317" s="30"/>
      <c r="M317" s="30"/>
      <c r="N317" s="30"/>
      <c r="O317" s="30"/>
      <c r="P317" s="30"/>
      <c r="Q317" s="30"/>
      <c r="R317" s="31"/>
      <c r="S317" s="409">
        <f t="shared" si="114"/>
        <v>0</v>
      </c>
      <c r="T317" s="31"/>
      <c r="U317" s="31"/>
      <c r="V317" s="31"/>
      <c r="W317" s="80"/>
      <c r="X317" s="80"/>
      <c r="Y317" s="80"/>
      <c r="Z317" s="80"/>
      <c r="AA317" s="80"/>
      <c r="AB317" s="31"/>
      <c r="AC317" s="31"/>
      <c r="AD317" s="31"/>
      <c r="AE317" s="31"/>
      <c r="AK317" s="31"/>
    </row>
    <row r="318" spans="1:37" x14ac:dyDescent="0.25">
      <c r="A318" s="114" t="str">
        <f t="shared" si="106"/>
        <v/>
      </c>
      <c r="B318" s="130" t="str">
        <f t="shared" si="107"/>
        <v/>
      </c>
      <c r="C318" s="888" t="str">
        <f t="shared" si="108"/>
        <v/>
      </c>
      <c r="D318" s="865"/>
      <c r="E318" s="115" t="str">
        <f t="shared" si="109"/>
        <v/>
      </c>
      <c r="F318" s="267" t="str">
        <f t="shared" si="110"/>
        <v/>
      </c>
      <c r="G318" s="116" t="str">
        <f t="shared" si="111"/>
        <v/>
      </c>
      <c r="H318" s="185" t="str">
        <f t="shared" si="112"/>
        <v/>
      </c>
      <c r="I318" s="320" t="str">
        <f t="shared" si="113"/>
        <v/>
      </c>
      <c r="J318" s="30"/>
      <c r="K318" s="30"/>
      <c r="L318" s="30"/>
      <c r="M318" s="30"/>
      <c r="N318" s="30"/>
      <c r="O318" s="30"/>
      <c r="P318" s="30"/>
      <c r="Q318" s="30"/>
      <c r="R318" s="31"/>
      <c r="S318" s="409">
        <f t="shared" si="114"/>
        <v>0</v>
      </c>
      <c r="T318" s="31"/>
      <c r="U318" s="31"/>
      <c r="V318" s="31"/>
      <c r="W318" s="80"/>
      <c r="X318" s="80"/>
      <c r="Y318" s="80"/>
      <c r="Z318" s="80"/>
      <c r="AA318" s="80"/>
      <c r="AB318" s="31"/>
      <c r="AC318" s="31"/>
      <c r="AD318" s="31"/>
      <c r="AE318" s="31"/>
      <c r="AK318" s="31"/>
    </row>
    <row r="319" spans="1:37" x14ac:dyDescent="0.25">
      <c r="A319" s="114" t="str">
        <f t="shared" si="106"/>
        <v/>
      </c>
      <c r="B319" s="130" t="str">
        <f t="shared" si="107"/>
        <v/>
      </c>
      <c r="C319" s="888" t="str">
        <f t="shared" si="108"/>
        <v/>
      </c>
      <c r="D319" s="865"/>
      <c r="E319" s="115" t="str">
        <f t="shared" si="109"/>
        <v/>
      </c>
      <c r="F319" s="267" t="str">
        <f t="shared" si="110"/>
        <v/>
      </c>
      <c r="G319" s="116" t="str">
        <f t="shared" si="111"/>
        <v/>
      </c>
      <c r="H319" s="185" t="str">
        <f t="shared" si="112"/>
        <v/>
      </c>
      <c r="I319" s="320" t="str">
        <f t="shared" si="113"/>
        <v/>
      </c>
      <c r="J319" s="30"/>
      <c r="K319" s="30"/>
      <c r="L319" s="30"/>
      <c r="M319" s="30"/>
      <c r="N319" s="30"/>
      <c r="O319" s="30"/>
      <c r="P319" s="30"/>
      <c r="Q319" s="30"/>
      <c r="R319" s="31"/>
      <c r="S319" s="409">
        <f t="shared" si="114"/>
        <v>0</v>
      </c>
      <c r="T319" s="31"/>
      <c r="U319" s="31"/>
      <c r="V319" s="31"/>
      <c r="W319" s="80"/>
      <c r="X319" s="80"/>
      <c r="Y319" s="80"/>
      <c r="Z319" s="80"/>
      <c r="AA319" s="80"/>
      <c r="AB319" s="31"/>
      <c r="AC319" s="31"/>
      <c r="AD319" s="31"/>
      <c r="AE319" s="31"/>
      <c r="AK319" s="31"/>
    </row>
    <row r="320" spans="1:37" x14ac:dyDescent="0.25">
      <c r="A320" s="114" t="str">
        <f t="shared" si="106"/>
        <v/>
      </c>
      <c r="B320" s="130" t="str">
        <f t="shared" si="107"/>
        <v/>
      </c>
      <c r="C320" s="888" t="str">
        <f t="shared" si="108"/>
        <v/>
      </c>
      <c r="D320" s="865"/>
      <c r="E320" s="115" t="str">
        <f t="shared" si="109"/>
        <v/>
      </c>
      <c r="F320" s="267" t="str">
        <f t="shared" si="110"/>
        <v/>
      </c>
      <c r="G320" s="116" t="str">
        <f t="shared" si="111"/>
        <v/>
      </c>
      <c r="H320" s="185" t="str">
        <f t="shared" si="112"/>
        <v/>
      </c>
      <c r="I320" s="320" t="str">
        <f t="shared" si="113"/>
        <v/>
      </c>
      <c r="J320" s="30"/>
      <c r="K320" s="30"/>
      <c r="L320" s="30"/>
      <c r="M320" s="30"/>
      <c r="N320" s="30"/>
      <c r="O320" s="30"/>
      <c r="P320" s="30"/>
      <c r="Q320" s="30"/>
      <c r="R320" s="31"/>
      <c r="S320" s="409">
        <f t="shared" si="114"/>
        <v>0</v>
      </c>
      <c r="T320" s="31"/>
      <c r="U320" s="31"/>
      <c r="V320" s="31"/>
      <c r="W320" s="80"/>
      <c r="X320" s="80"/>
      <c r="Y320" s="80"/>
      <c r="Z320" s="80"/>
      <c r="AA320" s="80"/>
      <c r="AB320" s="31"/>
      <c r="AC320" s="31"/>
      <c r="AD320" s="31"/>
      <c r="AE320" s="31"/>
      <c r="AK320" s="31"/>
    </row>
    <row r="321" spans="1:37" x14ac:dyDescent="0.25">
      <c r="A321" s="114" t="str">
        <f t="shared" si="106"/>
        <v/>
      </c>
      <c r="B321" s="130" t="str">
        <f t="shared" si="107"/>
        <v/>
      </c>
      <c r="C321" s="888" t="str">
        <f t="shared" si="108"/>
        <v/>
      </c>
      <c r="D321" s="865"/>
      <c r="E321" s="115" t="str">
        <f t="shared" si="109"/>
        <v/>
      </c>
      <c r="F321" s="267" t="str">
        <f t="shared" si="110"/>
        <v/>
      </c>
      <c r="G321" s="116" t="str">
        <f t="shared" si="111"/>
        <v/>
      </c>
      <c r="H321" s="185" t="str">
        <f t="shared" si="112"/>
        <v/>
      </c>
      <c r="I321" s="320" t="str">
        <f t="shared" si="113"/>
        <v/>
      </c>
      <c r="J321" s="30"/>
      <c r="K321" s="30"/>
      <c r="L321" s="30"/>
      <c r="M321" s="30"/>
      <c r="N321" s="30"/>
      <c r="O321" s="30"/>
      <c r="P321" s="30"/>
      <c r="Q321" s="30"/>
      <c r="R321" s="31"/>
      <c r="S321" s="409">
        <f t="shared" si="114"/>
        <v>0</v>
      </c>
      <c r="T321" s="31"/>
      <c r="U321" s="31"/>
      <c r="V321" s="31"/>
      <c r="W321" s="80"/>
      <c r="X321" s="80"/>
      <c r="Y321" s="80"/>
      <c r="Z321" s="80"/>
      <c r="AA321" s="80"/>
      <c r="AB321" s="31"/>
      <c r="AC321" s="31"/>
      <c r="AD321" s="31"/>
      <c r="AE321" s="31"/>
      <c r="AK321" s="31"/>
    </row>
    <row r="322" spans="1:37" x14ac:dyDescent="0.25">
      <c r="A322" s="114" t="str">
        <f t="shared" si="106"/>
        <v/>
      </c>
      <c r="B322" s="130" t="str">
        <f t="shared" si="107"/>
        <v/>
      </c>
      <c r="C322" s="888" t="str">
        <f t="shared" si="108"/>
        <v/>
      </c>
      <c r="D322" s="865"/>
      <c r="E322" s="115" t="str">
        <f t="shared" si="109"/>
        <v/>
      </c>
      <c r="F322" s="267" t="str">
        <f t="shared" si="110"/>
        <v/>
      </c>
      <c r="G322" s="116" t="str">
        <f t="shared" si="111"/>
        <v/>
      </c>
      <c r="H322" s="185" t="str">
        <f t="shared" si="112"/>
        <v/>
      </c>
      <c r="I322" s="320" t="str">
        <f t="shared" si="113"/>
        <v/>
      </c>
      <c r="J322" s="30"/>
      <c r="K322" s="30"/>
      <c r="L322" s="30"/>
      <c r="M322" s="30"/>
      <c r="N322" s="30"/>
      <c r="O322" s="30"/>
      <c r="P322" s="30"/>
      <c r="Q322" s="30"/>
      <c r="R322" s="31"/>
      <c r="S322" s="409">
        <f t="shared" si="114"/>
        <v>0</v>
      </c>
      <c r="T322" s="31"/>
      <c r="U322" s="31"/>
      <c r="V322" s="31"/>
      <c r="W322" s="80"/>
      <c r="X322" s="80"/>
      <c r="Y322" s="80"/>
      <c r="Z322" s="80"/>
      <c r="AA322" s="80"/>
      <c r="AB322" s="31"/>
      <c r="AC322" s="31"/>
      <c r="AD322" s="31"/>
      <c r="AE322" s="31"/>
      <c r="AK322" s="31"/>
    </row>
    <row r="323" spans="1:37" x14ac:dyDescent="0.25">
      <c r="A323" s="114" t="str">
        <f t="shared" si="106"/>
        <v/>
      </c>
      <c r="B323" s="130" t="str">
        <f t="shared" si="107"/>
        <v/>
      </c>
      <c r="C323" s="888" t="str">
        <f t="shared" si="108"/>
        <v/>
      </c>
      <c r="D323" s="865"/>
      <c r="E323" s="115" t="str">
        <f t="shared" si="109"/>
        <v/>
      </c>
      <c r="F323" s="267" t="str">
        <f t="shared" si="110"/>
        <v/>
      </c>
      <c r="G323" s="116" t="str">
        <f t="shared" si="111"/>
        <v/>
      </c>
      <c r="H323" s="185" t="str">
        <f t="shared" si="112"/>
        <v/>
      </c>
      <c r="I323" s="320" t="str">
        <f t="shared" si="113"/>
        <v/>
      </c>
      <c r="J323" s="30"/>
      <c r="K323" s="30"/>
      <c r="L323" s="30"/>
      <c r="M323" s="30"/>
      <c r="N323" s="30"/>
      <c r="O323" s="30"/>
      <c r="P323" s="30"/>
      <c r="Q323" s="30"/>
      <c r="R323" s="31"/>
      <c r="S323" s="409">
        <f t="shared" si="114"/>
        <v>0</v>
      </c>
      <c r="T323" s="31"/>
      <c r="U323" s="31"/>
      <c r="V323" s="31"/>
      <c r="W323" s="80"/>
      <c r="X323" s="80"/>
      <c r="Y323" s="80"/>
      <c r="Z323" s="80"/>
      <c r="AA323" s="80"/>
      <c r="AB323" s="31"/>
      <c r="AC323" s="31"/>
      <c r="AD323" s="31"/>
      <c r="AE323" s="31"/>
      <c r="AK323" s="31"/>
    </row>
    <row r="324" spans="1:37" x14ac:dyDescent="0.25">
      <c r="A324" s="114" t="str">
        <f t="shared" si="106"/>
        <v/>
      </c>
      <c r="B324" s="130" t="str">
        <f t="shared" si="107"/>
        <v/>
      </c>
      <c r="C324" s="888" t="str">
        <f t="shared" si="108"/>
        <v/>
      </c>
      <c r="D324" s="865"/>
      <c r="E324" s="115" t="str">
        <f t="shared" si="109"/>
        <v/>
      </c>
      <c r="F324" s="267" t="str">
        <f t="shared" si="110"/>
        <v/>
      </c>
      <c r="G324" s="116" t="str">
        <f t="shared" si="111"/>
        <v/>
      </c>
      <c r="H324" s="185" t="str">
        <f t="shared" si="112"/>
        <v/>
      </c>
      <c r="I324" s="320" t="str">
        <f t="shared" si="113"/>
        <v/>
      </c>
      <c r="J324" s="30"/>
      <c r="K324" s="30"/>
      <c r="L324" s="30"/>
      <c r="M324" s="30"/>
      <c r="N324" s="30"/>
      <c r="O324" s="30"/>
      <c r="P324" s="30"/>
      <c r="Q324" s="30"/>
      <c r="R324" s="31"/>
      <c r="S324" s="409">
        <f t="shared" si="114"/>
        <v>0</v>
      </c>
      <c r="T324" s="31"/>
      <c r="U324" s="31"/>
      <c r="V324" s="31"/>
      <c r="W324" s="80"/>
      <c r="X324" s="80"/>
      <c r="Y324" s="80"/>
      <c r="Z324" s="80"/>
      <c r="AA324" s="80"/>
      <c r="AB324" s="31"/>
      <c r="AC324" s="31"/>
      <c r="AD324" s="31"/>
      <c r="AE324" s="31"/>
      <c r="AK324" s="31"/>
    </row>
    <row r="325" spans="1:37" x14ac:dyDescent="0.25">
      <c r="A325" s="114" t="str">
        <f t="shared" si="106"/>
        <v/>
      </c>
      <c r="B325" s="130" t="str">
        <f t="shared" si="107"/>
        <v/>
      </c>
      <c r="C325" s="888" t="str">
        <f t="shared" si="108"/>
        <v/>
      </c>
      <c r="D325" s="865"/>
      <c r="E325" s="115" t="str">
        <f t="shared" si="109"/>
        <v/>
      </c>
      <c r="F325" s="267" t="str">
        <f t="shared" si="110"/>
        <v/>
      </c>
      <c r="G325" s="116" t="str">
        <f t="shared" si="111"/>
        <v/>
      </c>
      <c r="H325" s="185" t="str">
        <f t="shared" si="112"/>
        <v/>
      </c>
      <c r="I325" s="320" t="str">
        <f t="shared" si="113"/>
        <v/>
      </c>
      <c r="J325" s="30"/>
      <c r="K325" s="30"/>
      <c r="L325" s="30"/>
      <c r="M325" s="30"/>
      <c r="N325" s="30"/>
      <c r="O325" s="30"/>
      <c r="P325" s="30"/>
      <c r="Q325" s="30"/>
      <c r="R325" s="31"/>
      <c r="S325" s="409">
        <f t="shared" si="114"/>
        <v>0</v>
      </c>
      <c r="T325" s="31"/>
      <c r="U325" s="31"/>
      <c r="V325" s="31"/>
      <c r="W325" s="80"/>
      <c r="X325" s="80"/>
      <c r="Y325" s="80"/>
      <c r="Z325" s="80"/>
      <c r="AA325" s="80"/>
      <c r="AB325" s="31"/>
      <c r="AC325" s="31"/>
      <c r="AD325" s="31"/>
      <c r="AE325" s="31"/>
      <c r="AK325" s="31"/>
    </row>
    <row r="326" spans="1:37" x14ac:dyDescent="0.25">
      <c r="A326" s="114" t="str">
        <f t="shared" si="106"/>
        <v/>
      </c>
      <c r="B326" s="130" t="str">
        <f t="shared" si="107"/>
        <v/>
      </c>
      <c r="C326" s="888" t="str">
        <f t="shared" si="108"/>
        <v/>
      </c>
      <c r="D326" s="865"/>
      <c r="E326" s="115" t="str">
        <f t="shared" si="109"/>
        <v/>
      </c>
      <c r="F326" s="267" t="str">
        <f t="shared" si="110"/>
        <v/>
      </c>
      <c r="G326" s="116" t="str">
        <f t="shared" si="111"/>
        <v/>
      </c>
      <c r="H326" s="185" t="str">
        <f t="shared" si="112"/>
        <v/>
      </c>
      <c r="I326" s="320" t="str">
        <f t="shared" si="113"/>
        <v/>
      </c>
      <c r="J326" s="30"/>
      <c r="K326" s="30"/>
      <c r="L326" s="30"/>
      <c r="M326" s="30"/>
      <c r="N326" s="30"/>
      <c r="O326" s="30"/>
      <c r="P326" s="30"/>
      <c r="Q326" s="30"/>
      <c r="R326" s="31"/>
      <c r="S326" s="409">
        <f t="shared" si="114"/>
        <v>0</v>
      </c>
      <c r="T326" s="31"/>
      <c r="U326" s="31"/>
      <c r="V326" s="31"/>
      <c r="W326" s="80"/>
      <c r="X326" s="80"/>
      <c r="Y326" s="80"/>
      <c r="Z326" s="80"/>
      <c r="AA326" s="80"/>
      <c r="AB326" s="31"/>
      <c r="AC326" s="31"/>
      <c r="AD326" s="31"/>
      <c r="AE326" s="31"/>
      <c r="AK326" s="31"/>
    </row>
    <row r="327" spans="1:37" x14ac:dyDescent="0.25">
      <c r="A327" s="114" t="str">
        <f t="shared" si="106"/>
        <v/>
      </c>
      <c r="B327" s="130" t="str">
        <f t="shared" si="107"/>
        <v/>
      </c>
      <c r="C327" s="888" t="str">
        <f t="shared" si="108"/>
        <v/>
      </c>
      <c r="D327" s="865"/>
      <c r="E327" s="115" t="str">
        <f t="shared" si="109"/>
        <v/>
      </c>
      <c r="F327" s="267" t="str">
        <f t="shared" si="110"/>
        <v/>
      </c>
      <c r="G327" s="116" t="str">
        <f t="shared" si="111"/>
        <v/>
      </c>
      <c r="H327" s="185" t="str">
        <f t="shared" si="112"/>
        <v/>
      </c>
      <c r="I327" s="320" t="str">
        <f t="shared" si="113"/>
        <v/>
      </c>
      <c r="J327" s="30"/>
      <c r="K327" s="30"/>
      <c r="L327" s="30"/>
      <c r="M327" s="30"/>
      <c r="N327" s="30"/>
      <c r="O327" s="30"/>
      <c r="P327" s="30"/>
      <c r="Q327" s="30"/>
      <c r="R327" s="31"/>
      <c r="S327" s="409">
        <f t="shared" si="114"/>
        <v>0</v>
      </c>
      <c r="T327" s="31"/>
      <c r="U327" s="31"/>
      <c r="V327" s="31"/>
      <c r="W327" s="80"/>
      <c r="X327" s="80"/>
      <c r="Y327" s="80"/>
      <c r="Z327" s="80"/>
      <c r="AA327" s="80"/>
      <c r="AB327" s="31"/>
      <c r="AC327" s="31"/>
      <c r="AD327" s="31"/>
      <c r="AE327" s="31"/>
      <c r="AK327" s="31"/>
    </row>
    <row r="328" spans="1:37" x14ac:dyDescent="0.25">
      <c r="A328" s="114" t="str">
        <f t="shared" si="106"/>
        <v/>
      </c>
      <c r="B328" s="130" t="str">
        <f t="shared" si="107"/>
        <v/>
      </c>
      <c r="C328" s="888" t="str">
        <f t="shared" si="108"/>
        <v/>
      </c>
      <c r="D328" s="865"/>
      <c r="E328" s="115" t="str">
        <f t="shared" si="109"/>
        <v/>
      </c>
      <c r="F328" s="267" t="str">
        <f t="shared" si="110"/>
        <v/>
      </c>
      <c r="G328" s="116" t="str">
        <f t="shared" si="111"/>
        <v/>
      </c>
      <c r="H328" s="185" t="str">
        <f t="shared" si="112"/>
        <v/>
      </c>
      <c r="I328" s="320" t="str">
        <f t="shared" si="113"/>
        <v/>
      </c>
      <c r="J328" s="30"/>
      <c r="K328" s="30"/>
      <c r="L328" s="30"/>
      <c r="M328" s="30"/>
      <c r="N328" s="30"/>
      <c r="O328" s="30"/>
      <c r="P328" s="30"/>
      <c r="Q328" s="30"/>
      <c r="R328" s="31"/>
      <c r="S328" s="409">
        <f t="shared" si="114"/>
        <v>0</v>
      </c>
      <c r="T328" s="31"/>
      <c r="U328" s="31"/>
      <c r="V328" s="31"/>
      <c r="W328" s="80"/>
      <c r="X328" s="80"/>
      <c r="Y328" s="80"/>
      <c r="Z328" s="80"/>
      <c r="AA328" s="80"/>
      <c r="AB328" s="31"/>
      <c r="AC328" s="31"/>
      <c r="AD328" s="31"/>
      <c r="AE328" s="31"/>
      <c r="AK328" s="31"/>
    </row>
    <row r="329" spans="1:37" x14ac:dyDescent="0.25">
      <c r="A329" s="114" t="str">
        <f t="shared" si="106"/>
        <v/>
      </c>
      <c r="B329" s="130" t="str">
        <f t="shared" si="107"/>
        <v/>
      </c>
      <c r="C329" s="888" t="str">
        <f t="shared" si="108"/>
        <v/>
      </c>
      <c r="D329" s="865"/>
      <c r="E329" s="115" t="str">
        <f t="shared" si="109"/>
        <v/>
      </c>
      <c r="F329" s="267" t="str">
        <f t="shared" si="110"/>
        <v/>
      </c>
      <c r="G329" s="116" t="str">
        <f t="shared" si="111"/>
        <v/>
      </c>
      <c r="H329" s="185" t="str">
        <f t="shared" si="112"/>
        <v/>
      </c>
      <c r="I329" s="320" t="str">
        <f t="shared" si="113"/>
        <v/>
      </c>
      <c r="J329" s="30"/>
      <c r="K329" s="30"/>
      <c r="L329" s="30"/>
      <c r="M329" s="30"/>
      <c r="N329" s="30"/>
      <c r="O329" s="30"/>
      <c r="P329" s="30"/>
      <c r="Q329" s="30"/>
      <c r="R329" s="31"/>
      <c r="S329" s="409">
        <f t="shared" si="114"/>
        <v>0</v>
      </c>
      <c r="T329" s="31"/>
      <c r="U329" s="31"/>
      <c r="V329" s="31"/>
      <c r="W329" s="80"/>
      <c r="X329" s="80"/>
      <c r="Y329" s="80"/>
      <c r="Z329" s="80"/>
      <c r="AA329" s="80"/>
      <c r="AB329" s="31"/>
      <c r="AC329" s="31"/>
      <c r="AD329" s="31"/>
      <c r="AE329" s="31"/>
      <c r="AK329" s="31"/>
    </row>
    <row r="330" spans="1:37" x14ac:dyDescent="0.25">
      <c r="A330" s="114" t="str">
        <f t="shared" si="106"/>
        <v/>
      </c>
      <c r="B330" s="130" t="str">
        <f t="shared" si="107"/>
        <v/>
      </c>
      <c r="C330" s="888" t="str">
        <f t="shared" si="108"/>
        <v/>
      </c>
      <c r="D330" s="865"/>
      <c r="E330" s="115" t="str">
        <f t="shared" si="109"/>
        <v/>
      </c>
      <c r="F330" s="267" t="str">
        <f t="shared" si="110"/>
        <v/>
      </c>
      <c r="G330" s="116" t="str">
        <f t="shared" si="111"/>
        <v/>
      </c>
      <c r="H330" s="185" t="str">
        <f t="shared" si="112"/>
        <v/>
      </c>
      <c r="I330" s="320" t="str">
        <f t="shared" si="113"/>
        <v/>
      </c>
      <c r="J330" s="30"/>
      <c r="K330" s="30"/>
      <c r="L330" s="30"/>
      <c r="M330" s="30"/>
      <c r="N330" s="30"/>
      <c r="O330" s="30"/>
      <c r="P330" s="30"/>
      <c r="Q330" s="30"/>
      <c r="R330" s="31"/>
      <c r="S330" s="409">
        <f t="shared" si="114"/>
        <v>0</v>
      </c>
      <c r="T330" s="31"/>
      <c r="U330" s="31"/>
      <c r="V330" s="31"/>
      <c r="W330" s="80"/>
      <c r="X330" s="80"/>
      <c r="Y330" s="80"/>
      <c r="Z330" s="80"/>
      <c r="AA330" s="80"/>
      <c r="AB330" s="31"/>
      <c r="AC330" s="31"/>
      <c r="AD330" s="31"/>
      <c r="AE330" s="31"/>
      <c r="AK330" s="31"/>
    </row>
    <row r="331" spans="1:37" x14ac:dyDescent="0.25">
      <c r="A331" s="114" t="str">
        <f t="shared" si="106"/>
        <v/>
      </c>
      <c r="B331" s="130" t="str">
        <f t="shared" si="107"/>
        <v/>
      </c>
      <c r="C331" s="888" t="str">
        <f t="shared" si="108"/>
        <v/>
      </c>
      <c r="D331" s="865"/>
      <c r="E331" s="115" t="str">
        <f t="shared" si="109"/>
        <v/>
      </c>
      <c r="F331" s="267" t="str">
        <f t="shared" si="110"/>
        <v/>
      </c>
      <c r="G331" s="116" t="str">
        <f t="shared" si="111"/>
        <v/>
      </c>
      <c r="H331" s="185" t="str">
        <f t="shared" si="112"/>
        <v/>
      </c>
      <c r="I331" s="320" t="str">
        <f t="shared" si="113"/>
        <v/>
      </c>
      <c r="J331" s="30"/>
      <c r="K331" s="30"/>
      <c r="L331" s="30"/>
      <c r="M331" s="30"/>
      <c r="N331" s="30"/>
      <c r="O331" s="30"/>
      <c r="P331" s="30"/>
      <c r="Q331" s="30"/>
      <c r="R331" s="31"/>
      <c r="S331" s="409">
        <f t="shared" si="114"/>
        <v>0</v>
      </c>
      <c r="T331" s="31"/>
      <c r="U331" s="31"/>
      <c r="V331" s="31"/>
      <c r="W331" s="80"/>
      <c r="X331" s="80"/>
      <c r="Y331" s="80"/>
      <c r="Z331" s="80"/>
      <c r="AA331" s="80"/>
      <c r="AB331" s="31"/>
      <c r="AC331" s="31"/>
      <c r="AD331" s="31"/>
      <c r="AE331" s="31"/>
      <c r="AK331" s="31"/>
    </row>
    <row r="332" spans="1:37" x14ac:dyDescent="0.25">
      <c r="A332" s="114" t="str">
        <f t="shared" si="106"/>
        <v/>
      </c>
      <c r="B332" s="130" t="str">
        <f t="shared" si="107"/>
        <v/>
      </c>
      <c r="C332" s="888" t="str">
        <f t="shared" si="108"/>
        <v/>
      </c>
      <c r="D332" s="865"/>
      <c r="E332" s="115" t="str">
        <f t="shared" si="109"/>
        <v/>
      </c>
      <c r="F332" s="267" t="str">
        <f t="shared" si="110"/>
        <v/>
      </c>
      <c r="G332" s="116" t="str">
        <f t="shared" si="111"/>
        <v/>
      </c>
      <c r="H332" s="185" t="str">
        <f t="shared" si="112"/>
        <v/>
      </c>
      <c r="I332" s="320" t="str">
        <f t="shared" si="113"/>
        <v/>
      </c>
      <c r="J332" s="30"/>
      <c r="K332" s="30"/>
      <c r="L332" s="30"/>
      <c r="M332" s="30"/>
      <c r="N332" s="30"/>
      <c r="O332" s="30"/>
      <c r="P332" s="30"/>
      <c r="Q332" s="30"/>
      <c r="R332" s="31"/>
      <c r="S332" s="409">
        <f t="shared" si="114"/>
        <v>0</v>
      </c>
      <c r="T332" s="31"/>
      <c r="U332" s="31"/>
      <c r="V332" s="31"/>
      <c r="W332" s="80"/>
      <c r="X332" s="80"/>
      <c r="Y332" s="80"/>
      <c r="Z332" s="80"/>
      <c r="AA332" s="80"/>
      <c r="AB332" s="31"/>
      <c r="AC332" s="31"/>
      <c r="AD332" s="31"/>
      <c r="AE332" s="31"/>
      <c r="AK332" s="31"/>
    </row>
    <row r="333" spans="1:37" x14ac:dyDescent="0.25">
      <c r="A333" s="114" t="str">
        <f t="shared" si="106"/>
        <v/>
      </c>
      <c r="B333" s="130" t="str">
        <f t="shared" si="107"/>
        <v/>
      </c>
      <c r="C333" s="888" t="str">
        <f t="shared" si="108"/>
        <v/>
      </c>
      <c r="D333" s="865"/>
      <c r="E333" s="115" t="str">
        <f t="shared" si="109"/>
        <v/>
      </c>
      <c r="F333" s="267" t="str">
        <f t="shared" si="110"/>
        <v/>
      </c>
      <c r="G333" s="116" t="str">
        <f t="shared" si="111"/>
        <v/>
      </c>
      <c r="H333" s="185" t="str">
        <f t="shared" si="112"/>
        <v/>
      </c>
      <c r="I333" s="320" t="str">
        <f t="shared" si="113"/>
        <v/>
      </c>
      <c r="J333" s="30"/>
      <c r="K333" s="30"/>
      <c r="L333" s="30"/>
      <c r="M333" s="30"/>
      <c r="N333" s="30"/>
      <c r="O333" s="30"/>
      <c r="P333" s="30"/>
      <c r="Q333" s="30"/>
      <c r="R333" s="31"/>
      <c r="S333" s="409">
        <f t="shared" si="114"/>
        <v>0</v>
      </c>
      <c r="T333" s="31"/>
      <c r="U333" s="31"/>
      <c r="V333" s="31"/>
      <c r="W333" s="80"/>
      <c r="X333" s="80"/>
      <c r="Y333" s="80"/>
      <c r="Z333" s="80"/>
      <c r="AA333" s="80"/>
      <c r="AB333" s="31"/>
      <c r="AC333" s="31"/>
      <c r="AD333" s="31"/>
      <c r="AE333" s="31"/>
      <c r="AK333" s="31"/>
    </row>
    <row r="334" spans="1:37" x14ac:dyDescent="0.25">
      <c r="A334" s="114" t="str">
        <f t="shared" si="106"/>
        <v/>
      </c>
      <c r="B334" s="130" t="str">
        <f t="shared" si="107"/>
        <v/>
      </c>
      <c r="C334" s="888" t="str">
        <f t="shared" si="108"/>
        <v/>
      </c>
      <c r="D334" s="865"/>
      <c r="E334" s="115" t="str">
        <f t="shared" si="109"/>
        <v/>
      </c>
      <c r="F334" s="267" t="str">
        <f t="shared" si="110"/>
        <v/>
      </c>
      <c r="G334" s="116" t="str">
        <f t="shared" si="111"/>
        <v/>
      </c>
      <c r="H334" s="185" t="str">
        <f t="shared" si="112"/>
        <v/>
      </c>
      <c r="I334" s="320" t="str">
        <f t="shared" si="113"/>
        <v/>
      </c>
      <c r="J334" s="30"/>
      <c r="K334" s="30"/>
      <c r="L334" s="30"/>
      <c r="M334" s="30"/>
      <c r="N334" s="30"/>
      <c r="O334" s="30"/>
      <c r="P334" s="30"/>
      <c r="Q334" s="30"/>
      <c r="R334" s="31"/>
      <c r="S334" s="409">
        <f t="shared" si="114"/>
        <v>0</v>
      </c>
      <c r="T334" s="31"/>
      <c r="U334" s="31"/>
      <c r="V334" s="31"/>
      <c r="W334" s="80"/>
      <c r="X334" s="80"/>
      <c r="Y334" s="80"/>
      <c r="Z334" s="80"/>
      <c r="AA334" s="80"/>
      <c r="AB334" s="31"/>
      <c r="AC334" s="31"/>
      <c r="AD334" s="31"/>
      <c r="AE334" s="31"/>
      <c r="AK334" s="31"/>
    </row>
    <row r="335" spans="1:37" x14ac:dyDescent="0.25">
      <c r="A335" s="114" t="str">
        <f t="shared" si="106"/>
        <v/>
      </c>
      <c r="B335" s="130" t="str">
        <f t="shared" si="107"/>
        <v/>
      </c>
      <c r="C335" s="888" t="str">
        <f t="shared" si="108"/>
        <v/>
      </c>
      <c r="D335" s="865"/>
      <c r="E335" s="115" t="str">
        <f t="shared" si="109"/>
        <v/>
      </c>
      <c r="F335" s="267" t="str">
        <f t="shared" si="110"/>
        <v/>
      </c>
      <c r="G335" s="116" t="str">
        <f t="shared" si="111"/>
        <v/>
      </c>
      <c r="H335" s="185" t="str">
        <f t="shared" si="112"/>
        <v/>
      </c>
      <c r="I335" s="320" t="str">
        <f t="shared" si="113"/>
        <v/>
      </c>
      <c r="J335" s="30"/>
      <c r="K335" s="30"/>
      <c r="L335" s="30"/>
      <c r="M335" s="30"/>
      <c r="N335" s="30"/>
      <c r="O335" s="30"/>
      <c r="P335" s="30"/>
      <c r="Q335" s="30"/>
      <c r="R335" s="31"/>
      <c r="S335" s="409">
        <f t="shared" si="114"/>
        <v>0</v>
      </c>
      <c r="T335" s="31"/>
      <c r="U335" s="31"/>
      <c r="V335" s="31"/>
      <c r="W335" s="80"/>
      <c r="X335" s="80"/>
      <c r="Y335" s="80"/>
      <c r="Z335" s="80"/>
      <c r="AA335" s="80"/>
      <c r="AB335" s="31"/>
      <c r="AC335" s="31"/>
      <c r="AD335" s="31"/>
      <c r="AE335" s="31"/>
      <c r="AK335" s="31"/>
    </row>
    <row r="336" spans="1:37" x14ac:dyDescent="0.25">
      <c r="A336" s="114" t="str">
        <f t="shared" si="106"/>
        <v/>
      </c>
      <c r="B336" s="130" t="str">
        <f t="shared" si="107"/>
        <v/>
      </c>
      <c r="C336" s="888" t="str">
        <f t="shared" si="108"/>
        <v/>
      </c>
      <c r="D336" s="865"/>
      <c r="E336" s="115" t="str">
        <f t="shared" si="109"/>
        <v/>
      </c>
      <c r="F336" s="267" t="str">
        <f t="shared" si="110"/>
        <v/>
      </c>
      <c r="G336" s="116" t="str">
        <f t="shared" si="111"/>
        <v/>
      </c>
      <c r="H336" s="185" t="str">
        <f t="shared" si="112"/>
        <v/>
      </c>
      <c r="I336" s="320" t="str">
        <f t="shared" si="113"/>
        <v/>
      </c>
      <c r="J336" s="30"/>
      <c r="K336" s="30"/>
      <c r="L336" s="30"/>
      <c r="M336" s="30"/>
      <c r="N336" s="30"/>
      <c r="O336" s="30"/>
      <c r="P336" s="30"/>
      <c r="Q336" s="30"/>
      <c r="R336" s="31"/>
      <c r="S336" s="409">
        <f t="shared" si="114"/>
        <v>0</v>
      </c>
      <c r="T336" s="31"/>
      <c r="U336" s="31"/>
      <c r="V336" s="31"/>
      <c r="W336" s="80"/>
      <c r="X336" s="80"/>
      <c r="Y336" s="80"/>
      <c r="Z336" s="80"/>
      <c r="AA336" s="80"/>
      <c r="AB336" s="31"/>
      <c r="AC336" s="31"/>
      <c r="AD336" s="31"/>
      <c r="AE336" s="31"/>
      <c r="AK336" s="31"/>
    </row>
    <row r="337" spans="1:35" x14ac:dyDescent="0.25">
      <c r="A337" s="122" t="s">
        <v>50</v>
      </c>
      <c r="B337" s="253"/>
      <c r="C337" s="884">
        <f>SUM(C297:C336)</f>
        <v>0</v>
      </c>
      <c r="D337" s="885"/>
      <c r="E337" s="117">
        <f>SUM(E297:E336)</f>
        <v>0</v>
      </c>
      <c r="F337" s="261"/>
      <c r="G337" s="123">
        <f t="shared" ref="G337" si="116">C337+E337</f>
        <v>0</v>
      </c>
      <c r="H337" s="124"/>
      <c r="I337" s="30"/>
      <c r="J337" s="30"/>
      <c r="K337" s="30"/>
      <c r="L337" s="30"/>
      <c r="M337" s="30"/>
      <c r="N337" s="30"/>
      <c r="O337" s="30"/>
      <c r="P337" s="30"/>
      <c r="Q337" s="30"/>
      <c r="R337" s="31"/>
      <c r="S337" s="415">
        <f>SUM(S297:S336)</f>
        <v>0</v>
      </c>
      <c r="T337" s="31"/>
      <c r="U337" s="31"/>
      <c r="V337" s="31"/>
      <c r="W337" s="80"/>
      <c r="X337" s="80"/>
      <c r="Y337" s="80"/>
      <c r="Z337" s="80"/>
      <c r="AA337" s="80"/>
      <c r="AB337" s="31"/>
      <c r="AC337" s="31"/>
      <c r="AD337" s="31"/>
      <c r="AE337" s="31"/>
      <c r="AF337" s="31"/>
    </row>
    <row r="338" spans="1:35" x14ac:dyDescent="0.25">
      <c r="A338" s="98" t="s">
        <v>298</v>
      </c>
      <c r="B338" s="34"/>
      <c r="C338" s="34"/>
      <c r="D338" s="34"/>
      <c r="E338" s="30"/>
      <c r="F338" s="30"/>
      <c r="G338" s="30"/>
      <c r="H338" s="30"/>
      <c r="I338" s="30"/>
      <c r="J338" s="30"/>
      <c r="K338" s="30"/>
      <c r="L338" s="30"/>
      <c r="M338" s="146"/>
      <c r="N338" s="30"/>
      <c r="O338" s="30"/>
      <c r="P338" s="30"/>
      <c r="Q338" s="30"/>
      <c r="R338" s="30"/>
      <c r="S338" s="30"/>
      <c r="T338" s="30"/>
      <c r="U338" s="30"/>
      <c r="V338" s="30"/>
      <c r="W338" s="84"/>
      <c r="X338" s="84"/>
      <c r="Y338" s="84"/>
      <c r="Z338" s="84"/>
      <c r="AA338" s="84"/>
      <c r="AB338" s="30"/>
      <c r="AC338" s="30"/>
      <c r="AD338" s="30"/>
      <c r="AE338" s="30"/>
      <c r="AF338" s="30"/>
    </row>
    <row r="339" spans="1:35" ht="12.75" customHeight="1" x14ac:dyDescent="0.25">
      <c r="A339" s="413" t="s">
        <v>299</v>
      </c>
      <c r="B339" s="86"/>
      <c r="C339" s="891">
        <f>J64+C119+L119+C173+L173+C229+L229+C283+L283+C337</f>
        <v>0</v>
      </c>
      <c r="D339" s="891"/>
      <c r="E339" s="414">
        <f>M64+E119+M119+E173+M173+E229+M229+E283+M283+E337</f>
        <v>0</v>
      </c>
      <c r="F339" s="86"/>
      <c r="G339" s="414">
        <f>O64+G119+O119+G173+O173+G229+O229+G283+O283+G337</f>
        <v>0</v>
      </c>
      <c r="H339" s="31"/>
      <c r="I339" s="31"/>
      <c r="J339" s="30"/>
      <c r="K339" s="30"/>
      <c r="L339" s="30"/>
      <c r="M339" s="30"/>
      <c r="N339" s="30"/>
      <c r="O339" s="30"/>
      <c r="P339" s="31"/>
      <c r="Q339" s="31"/>
      <c r="R339" s="31"/>
      <c r="S339" s="31"/>
      <c r="T339" s="31"/>
      <c r="U339" s="31"/>
      <c r="V339" s="31"/>
      <c r="W339" s="80"/>
      <c r="X339" s="80"/>
      <c r="Y339" s="80"/>
      <c r="Z339" s="80"/>
      <c r="AA339" s="80"/>
      <c r="AB339" s="31"/>
      <c r="AC339" s="31"/>
      <c r="AD339" s="31"/>
      <c r="AE339" s="127"/>
      <c r="AF339" s="31"/>
      <c r="AG339" s="19"/>
    </row>
    <row r="340" spans="1:35" ht="12.75" customHeight="1" x14ac:dyDescent="0.25">
      <c r="A340" s="30"/>
      <c r="B340" s="87"/>
      <c r="C340" s="87"/>
      <c r="D340" s="87"/>
      <c r="E340" s="134"/>
      <c r="F340" s="134"/>
      <c r="G340" s="134"/>
      <c r="H340" s="134"/>
      <c r="I340" s="31"/>
      <c r="J340" s="134"/>
      <c r="K340" s="134"/>
      <c r="L340" s="134"/>
      <c r="M340" s="135"/>
      <c r="N340" s="30"/>
      <c r="O340" s="30"/>
      <c r="P340" s="31"/>
      <c r="Q340" s="31"/>
      <c r="R340" s="31"/>
      <c r="S340" s="31"/>
      <c r="T340" s="31"/>
      <c r="U340" s="31"/>
      <c r="V340" s="31"/>
      <c r="W340" s="80"/>
      <c r="X340" s="80"/>
      <c r="Y340" s="80"/>
      <c r="Z340" s="80"/>
      <c r="AA340" s="80"/>
      <c r="AB340" s="31"/>
      <c r="AC340" s="31"/>
      <c r="AD340" s="31"/>
      <c r="AE340" s="127"/>
      <c r="AF340" s="31"/>
      <c r="AG340" s="19"/>
    </row>
    <row r="341" spans="1:35" x14ac:dyDescent="0.25">
      <c r="A341" s="30"/>
      <c r="B341" s="34"/>
      <c r="C341" s="34"/>
      <c r="D341" s="34"/>
      <c r="E341" s="30"/>
      <c r="F341" s="30"/>
      <c r="G341" s="30"/>
      <c r="H341" s="30"/>
      <c r="I341" s="30"/>
      <c r="J341" s="83"/>
    </row>
    <row r="342" spans="1:35" x14ac:dyDescent="0.25">
      <c r="A342" s="30"/>
      <c r="B342" s="34"/>
      <c r="C342" s="34"/>
      <c r="D342" s="34"/>
      <c r="E342" s="30"/>
      <c r="F342" s="30"/>
      <c r="G342" s="30"/>
      <c r="H342" s="30"/>
    </row>
    <row r="343" spans="1:35" x14ac:dyDescent="0.25">
      <c r="A343" s="30"/>
      <c r="B343" s="34"/>
      <c r="C343" s="34"/>
      <c r="D343" s="34"/>
      <c r="E343" s="30"/>
      <c r="F343" s="30"/>
      <c r="G343" s="30"/>
      <c r="H343" s="30"/>
      <c r="I343" s="30"/>
      <c r="J343" s="30"/>
      <c r="K343" s="30"/>
      <c r="L343" s="30"/>
      <c r="M343" s="30"/>
      <c r="P343" s="85" t="s">
        <v>185</v>
      </c>
      <c r="Q343" s="85"/>
      <c r="R343" s="30"/>
      <c r="S343" s="30"/>
      <c r="T343" s="30"/>
      <c r="U343" s="30"/>
      <c r="V343" s="30"/>
      <c r="W343" s="84"/>
      <c r="X343" s="84"/>
      <c r="Y343" s="84"/>
      <c r="Z343" s="84"/>
      <c r="AA343" s="84"/>
      <c r="AB343" s="30"/>
      <c r="AC343" s="30"/>
      <c r="AD343" s="30"/>
      <c r="AE343" s="30"/>
      <c r="AF343" s="30"/>
    </row>
    <row r="344" spans="1:35" x14ac:dyDescent="0.25">
      <c r="A344" s="30"/>
      <c r="B344" s="34"/>
      <c r="C344" s="34"/>
      <c r="D344" s="34"/>
      <c r="E344" s="30"/>
      <c r="F344" s="30"/>
      <c r="G344" s="30"/>
      <c r="J344" s="143">
        <v>2</v>
      </c>
      <c r="K344" s="143"/>
      <c r="L344" s="143">
        <v>3</v>
      </c>
      <c r="M344" s="143">
        <v>4</v>
      </c>
      <c r="N344" s="143"/>
      <c r="O344" s="143">
        <v>5</v>
      </c>
      <c r="P344" s="143">
        <v>6</v>
      </c>
      <c r="Q344" s="143"/>
      <c r="R344" s="143">
        <v>7</v>
      </c>
      <c r="S344" s="143">
        <v>8</v>
      </c>
      <c r="T344" s="143">
        <v>9</v>
      </c>
      <c r="U344" s="143"/>
      <c r="V344" s="143">
        <v>10</v>
      </c>
      <c r="W344" s="393"/>
      <c r="X344" s="393"/>
      <c r="Y344" s="393"/>
      <c r="Z344" s="393"/>
      <c r="AA344" s="393"/>
      <c r="AB344" s="393"/>
      <c r="AC344" s="393"/>
      <c r="AD344" s="393"/>
    </row>
    <row r="345" spans="1:35" x14ac:dyDescent="0.25">
      <c r="A345" s="30" t="s">
        <v>183</v>
      </c>
      <c r="B345" s="34"/>
      <c r="C345" s="34" t="str">
        <f>IF(ENDDATE&lt;=CURRENTFYE,"A",IF(ENDDATE&gt;CURRENTFYE+365,"D","B"))</f>
        <v>A</v>
      </c>
      <c r="D345" s="34"/>
      <c r="E345" s="30"/>
      <c r="F345" s="30"/>
      <c r="G345" s="30" t="s">
        <v>184</v>
      </c>
      <c r="H345" s="30"/>
      <c r="I345" t="s">
        <v>186</v>
      </c>
      <c r="J345" s="145">
        <v>0</v>
      </c>
      <c r="K345" s="145"/>
      <c r="L345" s="145">
        <v>0</v>
      </c>
      <c r="M345" s="145">
        <v>0</v>
      </c>
      <c r="N345" s="145"/>
      <c r="O345" s="145">
        <v>0</v>
      </c>
      <c r="P345" s="145">
        <v>0</v>
      </c>
      <c r="Q345" s="145"/>
      <c r="R345" s="145">
        <v>0</v>
      </c>
      <c r="S345" s="145">
        <v>0</v>
      </c>
      <c r="T345" s="145">
        <v>0</v>
      </c>
      <c r="U345" s="145"/>
      <c r="V345" s="145">
        <v>0</v>
      </c>
      <c r="W345" s="145"/>
      <c r="X345" s="145"/>
      <c r="Y345" s="145"/>
      <c r="Z345" s="145"/>
      <c r="AA345" s="145"/>
      <c r="AB345" s="145"/>
      <c r="AC345" s="145"/>
      <c r="AD345" s="145"/>
    </row>
    <row r="346" spans="1:35" x14ac:dyDescent="0.25">
      <c r="A346" t="s">
        <v>178</v>
      </c>
      <c r="G346" s="138">
        <f>IF(ENDDATE&lt;=CURRENTFYE,1,IF(STARTDATE&lt;CURRENTFYE,(CURRENTFYE-STARTDATE)/(ENDDATE-STARTDATE),0))</f>
        <v>1</v>
      </c>
      <c r="I346" t="s">
        <v>187</v>
      </c>
      <c r="J346" s="145">
        <v>0</v>
      </c>
      <c r="K346" s="145"/>
      <c r="L346" s="145">
        <v>0</v>
      </c>
      <c r="M346" s="145">
        <v>0</v>
      </c>
      <c r="N346" s="145"/>
      <c r="O346" s="145">
        <v>0</v>
      </c>
      <c r="P346" s="145">
        <v>0</v>
      </c>
      <c r="Q346" s="145"/>
      <c r="R346" s="145">
        <v>0</v>
      </c>
      <c r="S346" s="145">
        <v>0</v>
      </c>
      <c r="T346" s="145">
        <v>0</v>
      </c>
      <c r="U346" s="145"/>
      <c r="V346" s="145">
        <v>0</v>
      </c>
      <c r="W346" s="145"/>
      <c r="X346" s="145"/>
      <c r="Y346" s="145"/>
      <c r="Z346" s="145"/>
      <c r="AA346" s="145"/>
      <c r="AB346" s="145"/>
      <c r="AC346" s="145"/>
      <c r="AD346" s="145"/>
    </row>
    <row r="347" spans="1:35" x14ac:dyDescent="0.25">
      <c r="A347" t="s">
        <v>179</v>
      </c>
      <c r="G347" s="138">
        <f>1-Year1Weight-Year3Weight</f>
        <v>0</v>
      </c>
      <c r="I347" t="s">
        <v>188</v>
      </c>
      <c r="J347" s="145">
        <v>0</v>
      </c>
      <c r="K347" s="145"/>
      <c r="L347" s="145">
        <v>0</v>
      </c>
      <c r="M347" s="145">
        <v>0</v>
      </c>
      <c r="N347" s="145"/>
      <c r="O347" s="145">
        <v>0</v>
      </c>
      <c r="P347" s="145">
        <v>0</v>
      </c>
      <c r="Q347" s="145"/>
      <c r="R347" s="145">
        <v>0</v>
      </c>
      <c r="S347" s="145">
        <v>0</v>
      </c>
      <c r="T347" s="145">
        <v>0</v>
      </c>
      <c r="U347" s="145"/>
      <c r="V347" s="145">
        <v>0</v>
      </c>
      <c r="W347" s="145"/>
      <c r="X347" s="145"/>
      <c r="Y347" s="145"/>
      <c r="Z347" s="145"/>
      <c r="AA347" s="145"/>
      <c r="AB347" s="145"/>
      <c r="AC347" s="145"/>
      <c r="AD347" s="145"/>
    </row>
    <row r="348" spans="1:35" x14ac:dyDescent="0.25">
      <c r="A348" t="s">
        <v>180</v>
      </c>
      <c r="G348" s="139">
        <f>IF(ENDDATE&lt;CURRENTFYE+365,0,(ENDDATE-(CURRENTFYE+365))/(ENDDATE-STARTDATE))</f>
        <v>0</v>
      </c>
      <c r="I348" t="s">
        <v>189</v>
      </c>
      <c r="J348" s="145">
        <v>0</v>
      </c>
      <c r="K348" s="145"/>
      <c r="L348" s="145">
        <v>0</v>
      </c>
      <c r="M348" s="145">
        <v>0</v>
      </c>
      <c r="N348" s="145"/>
      <c r="O348" s="145">
        <v>0</v>
      </c>
      <c r="P348" s="145">
        <v>0</v>
      </c>
      <c r="Q348" s="145"/>
      <c r="R348" s="145">
        <v>0</v>
      </c>
      <c r="S348" s="145">
        <v>0</v>
      </c>
      <c r="T348" s="145">
        <v>0</v>
      </c>
      <c r="U348" s="145"/>
      <c r="V348" s="145">
        <v>0</v>
      </c>
      <c r="W348" s="145"/>
      <c r="X348" s="145"/>
      <c r="Y348" s="145"/>
      <c r="Z348" s="145"/>
      <c r="AA348" s="145"/>
      <c r="AB348" s="145"/>
      <c r="AC348" s="145"/>
      <c r="AD348" s="145"/>
    </row>
    <row r="349" spans="1:35" x14ac:dyDescent="0.25">
      <c r="M349" s="82"/>
    </row>
    <row r="350" spans="1:35" x14ac:dyDescent="0.25">
      <c r="A350" s="30"/>
      <c r="B350" s="34"/>
      <c r="C350" s="34"/>
      <c r="D350" s="34"/>
      <c r="E350" s="30"/>
      <c r="F350" s="30"/>
      <c r="G350" s="84" t="s">
        <v>173</v>
      </c>
      <c r="H350" s="84" t="s">
        <v>173</v>
      </c>
      <c r="I350" s="30"/>
      <c r="J350" s="30"/>
      <c r="K350" s="30"/>
      <c r="L350" s="30"/>
      <c r="M350" s="85"/>
      <c r="N350" s="30"/>
      <c r="O350" s="30" t="s">
        <v>172</v>
      </c>
      <c r="P350" s="30"/>
      <c r="Q350" s="30"/>
      <c r="R350" s="30"/>
      <c r="S350" s="30"/>
      <c r="T350" s="30"/>
      <c r="U350" s="30"/>
      <c r="V350" s="30"/>
      <c r="W350" s="84"/>
      <c r="X350" s="84"/>
      <c r="Y350" s="84"/>
      <c r="Z350" s="84"/>
      <c r="AA350" s="84"/>
      <c r="AB350" s="30"/>
      <c r="AC350" s="30"/>
      <c r="AD350" s="30"/>
      <c r="AE350" s="30"/>
      <c r="AF350" s="30"/>
    </row>
    <row r="351" spans="1:35" x14ac:dyDescent="0.25">
      <c r="A351" s="86"/>
      <c r="B351" s="87" t="s">
        <v>248</v>
      </c>
      <c r="C351" s="87"/>
      <c r="D351" s="87"/>
      <c r="E351" s="30"/>
      <c r="F351" s="30"/>
      <c r="G351" s="84" t="s">
        <v>174</v>
      </c>
      <c r="H351" s="30" t="s">
        <v>175</v>
      </c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84"/>
      <c r="X351" s="84"/>
      <c r="Y351" s="84"/>
      <c r="Z351" s="84"/>
      <c r="AA351" s="84"/>
      <c r="AB351" s="30"/>
      <c r="AC351" s="30"/>
      <c r="AD351" s="30"/>
      <c r="AE351" s="30"/>
      <c r="AF351" s="30"/>
    </row>
    <row r="352" spans="1:35" x14ac:dyDescent="0.25">
      <c r="A352" s="84" t="s">
        <v>158</v>
      </c>
      <c r="B352" s="34" t="s">
        <v>159</v>
      </c>
      <c r="C352" s="34"/>
      <c r="D352" s="34"/>
      <c r="E352" s="84"/>
      <c r="F352" s="84"/>
      <c r="G352" s="30"/>
      <c r="H352" s="144">
        <v>1</v>
      </c>
      <c r="I352" s="144">
        <v>2</v>
      </c>
      <c r="J352" s="144">
        <v>3</v>
      </c>
      <c r="K352" s="144">
        <v>4</v>
      </c>
      <c r="L352" s="144">
        <v>5</v>
      </c>
      <c r="M352" s="144">
        <v>6</v>
      </c>
      <c r="N352" s="144">
        <v>7</v>
      </c>
      <c r="O352" s="144">
        <v>8</v>
      </c>
      <c r="P352" s="144">
        <v>9</v>
      </c>
      <c r="Q352" s="144">
        <v>10</v>
      </c>
      <c r="R352" s="144">
        <v>11</v>
      </c>
      <c r="S352" s="144">
        <v>12</v>
      </c>
      <c r="T352" s="144">
        <v>13</v>
      </c>
      <c r="U352" s="272"/>
      <c r="V352" s="272"/>
      <c r="W352" s="272"/>
      <c r="X352" s="272"/>
      <c r="Y352" s="272"/>
      <c r="Z352" s="272"/>
      <c r="AA352" s="272"/>
      <c r="AB352" s="272"/>
      <c r="AC352" s="272"/>
      <c r="AD352" s="272"/>
      <c r="AG352" s="272"/>
      <c r="AH352" s="272"/>
      <c r="AI352" s="272"/>
    </row>
    <row r="353" spans="1:35" x14ac:dyDescent="0.25">
      <c r="A353" s="88">
        <v>0</v>
      </c>
      <c r="B353" s="802">
        <v>0</v>
      </c>
      <c r="C353" s="803"/>
      <c r="D353" s="803"/>
      <c r="E353" s="803"/>
      <c r="F353" s="804"/>
      <c r="G353" s="805">
        <v>0</v>
      </c>
      <c r="H353" s="805">
        <v>0</v>
      </c>
      <c r="I353" s="349">
        <v>0</v>
      </c>
      <c r="J353" s="349">
        <v>0</v>
      </c>
      <c r="K353" s="349">
        <v>0</v>
      </c>
      <c r="L353" s="349">
        <v>0</v>
      </c>
      <c r="M353" s="349">
        <v>0</v>
      </c>
      <c r="N353" s="349">
        <v>0</v>
      </c>
      <c r="O353" s="349">
        <v>0</v>
      </c>
      <c r="P353" s="349">
        <v>0</v>
      </c>
      <c r="Q353" s="349">
        <v>0</v>
      </c>
      <c r="R353" s="349">
        <v>0</v>
      </c>
      <c r="S353" s="349">
        <v>0</v>
      </c>
      <c r="T353" s="349">
        <v>0</v>
      </c>
      <c r="U353" s="82"/>
      <c r="V353" s="82"/>
      <c r="W353" s="531"/>
      <c r="X353" s="531"/>
      <c r="Y353" s="531"/>
      <c r="Z353" s="531"/>
      <c r="AA353" s="531"/>
      <c r="AB353" s="82"/>
      <c r="AC353" s="82"/>
      <c r="AD353" s="82"/>
      <c r="AG353" s="82"/>
      <c r="AH353" s="82"/>
      <c r="AI353" s="140"/>
    </row>
    <row r="354" spans="1:35" x14ac:dyDescent="0.25">
      <c r="A354" s="84" t="s">
        <v>56</v>
      </c>
      <c r="B354" s="802">
        <v>0.38</v>
      </c>
      <c r="C354" s="803"/>
      <c r="D354" s="803"/>
      <c r="E354" s="804"/>
      <c r="F354" s="804"/>
      <c r="G354" s="806" t="s">
        <v>56</v>
      </c>
      <c r="H354" s="807">
        <v>0.38</v>
      </c>
      <c r="I354" s="808">
        <v>0.39400000000000002</v>
      </c>
      <c r="J354" s="808">
        <v>0.39800000000000002</v>
      </c>
      <c r="K354" s="808">
        <v>0.40200000000000002</v>
      </c>
      <c r="L354" s="808">
        <v>0.40600000000000003</v>
      </c>
      <c r="M354" s="808">
        <f t="shared" ref="M354:M363" si="117">L354</f>
        <v>0.40600000000000003</v>
      </c>
      <c r="N354" s="809">
        <f t="shared" ref="N354:N363" si="118">L354</f>
        <v>0.40600000000000003</v>
      </c>
      <c r="O354" s="808">
        <f t="shared" ref="O354:O363" si="119">L354</f>
        <v>0.40600000000000003</v>
      </c>
      <c r="P354" s="808">
        <f>L354</f>
        <v>0.40600000000000003</v>
      </c>
      <c r="Q354" s="808">
        <f>L354</f>
        <v>0.40600000000000003</v>
      </c>
      <c r="R354" s="808">
        <f t="shared" ref="R354:R363" si="120">L354</f>
        <v>0.40600000000000003</v>
      </c>
      <c r="S354" s="808">
        <f>L354</f>
        <v>0.40600000000000003</v>
      </c>
      <c r="T354" s="808">
        <f>L354</f>
        <v>0.40600000000000003</v>
      </c>
      <c r="U354" s="85"/>
      <c r="V354" s="85"/>
      <c r="W354" s="532"/>
      <c r="X354" s="532"/>
      <c r="Y354" s="532"/>
      <c r="Z354" s="532"/>
      <c r="AA354" s="532"/>
      <c r="AB354" s="85"/>
      <c r="AC354" s="85"/>
      <c r="AD354" s="85"/>
      <c r="AG354" s="85"/>
      <c r="AH354" s="85"/>
      <c r="AI354" s="85"/>
    </row>
    <row r="355" spans="1:35" x14ac:dyDescent="0.25">
      <c r="A355" s="84" t="s">
        <v>267</v>
      </c>
      <c r="B355" s="802">
        <v>0.38</v>
      </c>
      <c r="C355" s="803"/>
      <c r="D355" s="803"/>
      <c r="E355" s="804"/>
      <c r="F355" s="804"/>
      <c r="G355" s="806" t="s">
        <v>267</v>
      </c>
      <c r="H355" s="807">
        <v>0.38</v>
      </c>
      <c r="I355" s="808">
        <v>0.39400000000000002</v>
      </c>
      <c r="J355" s="808">
        <v>0.39800000000000002</v>
      </c>
      <c r="K355" s="808">
        <v>0.40200000000000002</v>
      </c>
      <c r="L355" s="808">
        <v>0.40600000000000003</v>
      </c>
      <c r="M355" s="808">
        <f t="shared" si="117"/>
        <v>0.40600000000000003</v>
      </c>
      <c r="N355" s="809">
        <f t="shared" si="118"/>
        <v>0.40600000000000003</v>
      </c>
      <c r="O355" s="808">
        <f t="shared" si="119"/>
        <v>0.40600000000000003</v>
      </c>
      <c r="P355" s="808">
        <f>L355</f>
        <v>0.40600000000000003</v>
      </c>
      <c r="Q355" s="808">
        <f>L355</f>
        <v>0.40600000000000003</v>
      </c>
      <c r="R355" s="808">
        <f t="shared" si="120"/>
        <v>0.40600000000000003</v>
      </c>
      <c r="S355" s="808">
        <f>L355</f>
        <v>0.40600000000000003</v>
      </c>
      <c r="T355" s="808">
        <f>L355</f>
        <v>0.40600000000000003</v>
      </c>
      <c r="U355" s="85"/>
      <c r="V355" s="85"/>
      <c r="W355" s="532"/>
      <c r="X355" s="532"/>
      <c r="Y355" s="532"/>
      <c r="Z355" s="532"/>
      <c r="AA355" s="532"/>
      <c r="AB355" s="85"/>
      <c r="AC355" s="85"/>
      <c r="AD355" s="85"/>
      <c r="AG355" s="85"/>
      <c r="AH355" s="85"/>
      <c r="AI355" s="85"/>
    </row>
    <row r="356" spans="1:35" x14ac:dyDescent="0.25">
      <c r="A356" s="84" t="s">
        <v>268</v>
      </c>
      <c r="B356" s="802">
        <v>0.38</v>
      </c>
      <c r="C356" s="803"/>
      <c r="D356" s="803"/>
      <c r="E356" s="804"/>
      <c r="F356" s="804"/>
      <c r="G356" s="806" t="s">
        <v>268</v>
      </c>
      <c r="H356" s="807">
        <v>0.38</v>
      </c>
      <c r="I356" s="808">
        <v>0.39400000000000002</v>
      </c>
      <c r="J356" s="808">
        <v>0.39800000000000002</v>
      </c>
      <c r="K356" s="808">
        <v>0.40200000000000002</v>
      </c>
      <c r="L356" s="808">
        <v>0.40600000000000003</v>
      </c>
      <c r="M356" s="808">
        <f t="shared" si="117"/>
        <v>0.40600000000000003</v>
      </c>
      <c r="N356" s="809">
        <f t="shared" si="118"/>
        <v>0.40600000000000003</v>
      </c>
      <c r="O356" s="808">
        <f t="shared" si="119"/>
        <v>0.40600000000000003</v>
      </c>
      <c r="P356" s="808">
        <f>L356</f>
        <v>0.40600000000000003</v>
      </c>
      <c r="Q356" s="808">
        <f>L356</f>
        <v>0.40600000000000003</v>
      </c>
      <c r="R356" s="808">
        <f t="shared" si="120"/>
        <v>0.40600000000000003</v>
      </c>
      <c r="S356" s="808">
        <f>L356</f>
        <v>0.40600000000000003</v>
      </c>
      <c r="T356" s="808">
        <f>L356</f>
        <v>0.40600000000000003</v>
      </c>
      <c r="U356" s="85"/>
      <c r="V356" s="85"/>
      <c r="W356" s="532"/>
      <c r="X356" s="532"/>
      <c r="Y356" s="532"/>
      <c r="Z356" s="532"/>
      <c r="AA356" s="532"/>
      <c r="AB356" s="85"/>
      <c r="AC356" s="85"/>
      <c r="AD356" s="85"/>
      <c r="AG356" s="85"/>
      <c r="AH356" s="85"/>
      <c r="AI356" s="85"/>
    </row>
    <row r="357" spans="1:35" x14ac:dyDescent="0.25">
      <c r="A357" s="84" t="s">
        <v>57</v>
      </c>
      <c r="B357" s="802">
        <v>0.3</v>
      </c>
      <c r="C357" s="803"/>
      <c r="D357" s="803"/>
      <c r="E357" s="804"/>
      <c r="F357" s="804"/>
      <c r="G357" s="806" t="s">
        <v>57</v>
      </c>
      <c r="H357" s="807">
        <v>0.3</v>
      </c>
      <c r="I357" s="808">
        <v>0.312</v>
      </c>
      <c r="J357" s="808">
        <v>0.314</v>
      </c>
      <c r="K357" s="808">
        <v>0.316</v>
      </c>
      <c r="L357" s="808">
        <v>0.318</v>
      </c>
      <c r="M357" s="808">
        <f t="shared" si="117"/>
        <v>0.318</v>
      </c>
      <c r="N357" s="809">
        <f t="shared" si="118"/>
        <v>0.318</v>
      </c>
      <c r="O357" s="808">
        <f t="shared" si="119"/>
        <v>0.318</v>
      </c>
      <c r="P357" s="808">
        <f t="shared" ref="P357:P363" si="121">L357</f>
        <v>0.318</v>
      </c>
      <c r="Q357" s="808">
        <f t="shared" ref="Q357:Q363" si="122">L357</f>
        <v>0.318</v>
      </c>
      <c r="R357" s="808">
        <f t="shared" si="120"/>
        <v>0.318</v>
      </c>
      <c r="S357" s="808">
        <f>L357</f>
        <v>0.318</v>
      </c>
      <c r="T357" s="808">
        <f>L357</f>
        <v>0.318</v>
      </c>
      <c r="U357" s="85"/>
      <c r="V357" s="85"/>
      <c r="W357" s="532"/>
      <c r="X357" s="532"/>
      <c r="Y357" s="532"/>
      <c r="Z357" s="532"/>
      <c r="AA357" s="532"/>
      <c r="AB357" s="85"/>
      <c r="AC357" s="85"/>
      <c r="AD357" s="85"/>
      <c r="AG357" s="85"/>
      <c r="AH357" s="85"/>
      <c r="AI357" s="85"/>
    </row>
    <row r="358" spans="1:35" x14ac:dyDescent="0.25">
      <c r="A358" s="84" t="s">
        <v>104</v>
      </c>
      <c r="B358" s="802">
        <v>0.01</v>
      </c>
      <c r="C358" s="803"/>
      <c r="D358" s="803"/>
      <c r="E358" s="804"/>
      <c r="F358" s="804"/>
      <c r="G358" s="806" t="s">
        <v>104</v>
      </c>
      <c r="H358" s="807">
        <v>0.01</v>
      </c>
      <c r="I358" s="808">
        <v>0.01</v>
      </c>
      <c r="J358" s="808">
        <v>0.01</v>
      </c>
      <c r="K358" s="808">
        <v>0.01</v>
      </c>
      <c r="L358" s="808">
        <v>0.01</v>
      </c>
      <c r="M358" s="808">
        <v>0.01</v>
      </c>
      <c r="N358" s="809">
        <v>0.01</v>
      </c>
      <c r="O358" s="808">
        <v>0.01</v>
      </c>
      <c r="P358" s="808">
        <v>0.01</v>
      </c>
      <c r="Q358" s="808">
        <v>0.01</v>
      </c>
      <c r="R358" s="808">
        <v>0.01</v>
      </c>
      <c r="S358" s="808">
        <v>0.01</v>
      </c>
      <c r="T358" s="808">
        <v>0.01</v>
      </c>
      <c r="U358" s="85"/>
      <c r="V358" s="85"/>
      <c r="W358" s="532"/>
      <c r="X358" s="532"/>
      <c r="Y358" s="532"/>
      <c r="Z358" s="532"/>
      <c r="AA358" s="532"/>
      <c r="AB358" s="85"/>
      <c r="AC358" s="85"/>
      <c r="AD358" s="85"/>
      <c r="AG358" s="85"/>
      <c r="AH358" s="85"/>
      <c r="AI358" s="85"/>
    </row>
    <row r="359" spans="1:35" x14ac:dyDescent="0.25">
      <c r="A359" s="84" t="s">
        <v>111</v>
      </c>
      <c r="B359" s="802">
        <v>0.26</v>
      </c>
      <c r="C359" s="803"/>
      <c r="D359" s="803"/>
      <c r="E359" s="804"/>
      <c r="F359" s="804"/>
      <c r="G359" s="806" t="s">
        <v>111</v>
      </c>
      <c r="H359" s="807">
        <v>0.26</v>
      </c>
      <c r="I359" s="808">
        <v>0.26</v>
      </c>
      <c r="J359" s="808">
        <v>0.26</v>
      </c>
      <c r="K359" s="808">
        <v>0.26</v>
      </c>
      <c r="L359" s="808">
        <v>0.26</v>
      </c>
      <c r="M359" s="808">
        <f t="shared" si="117"/>
        <v>0.26</v>
      </c>
      <c r="N359" s="809">
        <f t="shared" si="118"/>
        <v>0.26</v>
      </c>
      <c r="O359" s="808">
        <f t="shared" si="119"/>
        <v>0.26</v>
      </c>
      <c r="P359" s="808">
        <f t="shared" si="121"/>
        <v>0.26</v>
      </c>
      <c r="Q359" s="808">
        <f t="shared" si="122"/>
        <v>0.26</v>
      </c>
      <c r="R359" s="808">
        <f t="shared" si="120"/>
        <v>0.26</v>
      </c>
      <c r="S359" s="808">
        <f>L359</f>
        <v>0.26</v>
      </c>
      <c r="T359" s="808">
        <f>L359</f>
        <v>0.26</v>
      </c>
      <c r="U359" s="85"/>
      <c r="V359" s="85"/>
      <c r="W359" s="532"/>
      <c r="X359" s="532"/>
      <c r="Y359" s="532"/>
      <c r="Z359" s="532"/>
      <c r="AA359" s="532"/>
      <c r="AB359" s="85"/>
      <c r="AC359" s="85"/>
      <c r="AD359" s="85"/>
      <c r="AG359" s="85"/>
      <c r="AH359" s="85"/>
      <c r="AI359" s="85"/>
    </row>
    <row r="360" spans="1:35" x14ac:dyDescent="0.25">
      <c r="A360" s="84" t="s">
        <v>133</v>
      </c>
      <c r="B360" s="802">
        <v>8.1000000000000003E-2</v>
      </c>
      <c r="C360" s="803"/>
      <c r="D360" s="803"/>
      <c r="E360" s="804"/>
      <c r="F360" s="804"/>
      <c r="G360" s="806" t="s">
        <v>133</v>
      </c>
      <c r="H360" s="807">
        <v>8.1000000000000003E-2</v>
      </c>
      <c r="I360" s="808">
        <v>8.1000000000000003E-2</v>
      </c>
      <c r="J360" s="808">
        <v>8.1000000000000003E-2</v>
      </c>
      <c r="K360" s="808">
        <v>8.1000000000000003E-2</v>
      </c>
      <c r="L360" s="808">
        <v>8.1000000000000003E-2</v>
      </c>
      <c r="M360" s="808">
        <f t="shared" si="117"/>
        <v>8.1000000000000003E-2</v>
      </c>
      <c r="N360" s="809">
        <f t="shared" si="118"/>
        <v>8.1000000000000003E-2</v>
      </c>
      <c r="O360" s="808">
        <f t="shared" si="119"/>
        <v>8.1000000000000003E-2</v>
      </c>
      <c r="P360" s="808">
        <f t="shared" si="121"/>
        <v>8.1000000000000003E-2</v>
      </c>
      <c r="Q360" s="808">
        <f t="shared" si="122"/>
        <v>8.1000000000000003E-2</v>
      </c>
      <c r="R360" s="808">
        <f t="shared" si="120"/>
        <v>8.1000000000000003E-2</v>
      </c>
      <c r="S360" s="808">
        <f>L360</f>
        <v>8.1000000000000003E-2</v>
      </c>
      <c r="T360" s="808">
        <f>L360</f>
        <v>8.1000000000000003E-2</v>
      </c>
      <c r="U360" s="85"/>
      <c r="V360" s="85"/>
      <c r="W360" s="532"/>
      <c r="X360" s="532"/>
      <c r="Y360" s="532"/>
      <c r="Z360" s="532"/>
      <c r="AA360" s="532"/>
      <c r="AB360" s="85"/>
      <c r="AC360" s="85"/>
      <c r="AD360" s="85"/>
      <c r="AG360" s="85"/>
      <c r="AH360" s="85"/>
      <c r="AI360" s="85"/>
    </row>
    <row r="361" spans="1:35" x14ac:dyDescent="0.25">
      <c r="A361" s="84" t="s">
        <v>58</v>
      </c>
      <c r="B361" s="802">
        <v>0.01</v>
      </c>
      <c r="C361" s="803"/>
      <c r="D361" s="803"/>
      <c r="E361" s="804"/>
      <c r="F361" s="804"/>
      <c r="G361" s="806" t="s">
        <v>58</v>
      </c>
      <c r="H361" s="807">
        <v>0.01</v>
      </c>
      <c r="I361" s="808">
        <f>ROUND(($H361*(1+FringeIncrease)^H$352),2)</f>
        <v>0.01</v>
      </c>
      <c r="J361" s="808">
        <f>ROUND(($H361*(1+FringeIncrease)^I$352),2)</f>
        <v>0.01</v>
      </c>
      <c r="K361" s="808">
        <f>ROUND(($H361*(1+FringeIncrease)^J$352),2)</f>
        <v>0.01</v>
      </c>
      <c r="L361" s="808">
        <f>ROUND(($H361*(1+FringeIncrease)^K$352),2)</f>
        <v>0.01</v>
      </c>
      <c r="M361" s="808">
        <f t="shared" si="117"/>
        <v>0.01</v>
      </c>
      <c r="N361" s="809">
        <f t="shared" si="118"/>
        <v>0.01</v>
      </c>
      <c r="O361" s="808">
        <f t="shared" si="119"/>
        <v>0.01</v>
      </c>
      <c r="P361" s="808">
        <f t="shared" si="121"/>
        <v>0.01</v>
      </c>
      <c r="Q361" s="808">
        <f t="shared" si="122"/>
        <v>0.01</v>
      </c>
      <c r="R361" s="808">
        <f t="shared" si="120"/>
        <v>0.01</v>
      </c>
      <c r="S361" s="808">
        <f>L361</f>
        <v>0.01</v>
      </c>
      <c r="T361" s="808">
        <f>L361</f>
        <v>0.01</v>
      </c>
      <c r="U361" s="85"/>
      <c r="V361" s="85"/>
      <c r="W361" s="532"/>
      <c r="X361" s="532"/>
      <c r="Y361" s="532"/>
      <c r="Z361" s="532"/>
      <c r="AA361" s="532"/>
      <c r="AB361" s="85"/>
      <c r="AC361" s="85"/>
      <c r="AD361" s="85"/>
      <c r="AG361" s="85"/>
      <c r="AH361" s="85"/>
      <c r="AI361" s="85"/>
    </row>
    <row r="362" spans="1:35" x14ac:dyDescent="0.25">
      <c r="A362" s="84" t="s">
        <v>59</v>
      </c>
      <c r="B362" s="802">
        <v>0.24</v>
      </c>
      <c r="C362" s="803"/>
      <c r="D362" s="803"/>
      <c r="E362" s="804"/>
      <c r="F362" s="804"/>
      <c r="G362" s="806" t="s">
        <v>59</v>
      </c>
      <c r="H362" s="807">
        <v>0.24</v>
      </c>
      <c r="I362" s="808">
        <v>0.24</v>
      </c>
      <c r="J362" s="808">
        <v>0.24</v>
      </c>
      <c r="K362" s="808">
        <v>0.24</v>
      </c>
      <c r="L362" s="808">
        <v>0.24</v>
      </c>
      <c r="M362" s="808">
        <f t="shared" si="117"/>
        <v>0.24</v>
      </c>
      <c r="N362" s="809">
        <f t="shared" si="118"/>
        <v>0.24</v>
      </c>
      <c r="O362" s="808">
        <f t="shared" si="119"/>
        <v>0.24</v>
      </c>
      <c r="P362" s="808">
        <f t="shared" si="121"/>
        <v>0.24</v>
      </c>
      <c r="Q362" s="808">
        <f t="shared" si="122"/>
        <v>0.24</v>
      </c>
      <c r="R362" s="808">
        <f t="shared" si="120"/>
        <v>0.24</v>
      </c>
      <c r="S362" s="808">
        <f>L362</f>
        <v>0.24</v>
      </c>
      <c r="T362" s="808">
        <f>L362</f>
        <v>0.24</v>
      </c>
      <c r="U362" s="85"/>
      <c r="V362" s="85"/>
      <c r="W362" s="532"/>
      <c r="X362" s="532"/>
      <c r="Y362" s="532"/>
      <c r="Z362" s="532"/>
      <c r="AA362" s="532"/>
      <c r="AB362" s="85"/>
      <c r="AC362" s="85"/>
      <c r="AD362" s="85"/>
      <c r="AG362" s="85"/>
      <c r="AH362" s="85"/>
      <c r="AI362" s="85"/>
    </row>
    <row r="363" spans="1:35" x14ac:dyDescent="0.25">
      <c r="A363" s="84" t="s">
        <v>60</v>
      </c>
      <c r="B363" s="802">
        <v>0.01</v>
      </c>
      <c r="C363" s="803"/>
      <c r="D363" s="803"/>
      <c r="E363" s="804"/>
      <c r="F363" s="804"/>
      <c r="G363" s="806" t="s">
        <v>60</v>
      </c>
      <c r="H363" s="807">
        <v>0.01</v>
      </c>
      <c r="I363" s="808">
        <f>ROUND(($H363*(1+FringeIncrease)^H$352),2)</f>
        <v>0.01</v>
      </c>
      <c r="J363" s="808">
        <f>ROUND(($H363*(1+FringeIncrease)^I$352),2)</f>
        <v>0.01</v>
      </c>
      <c r="K363" s="808">
        <f>ROUND(($H363*(1+FringeIncrease)^J$352),2)</f>
        <v>0.01</v>
      </c>
      <c r="L363" s="808">
        <f>ROUND(($H363*(1.001+FringeIncrease)^K$352),2)</f>
        <v>0.01</v>
      </c>
      <c r="M363" s="808">
        <f t="shared" si="117"/>
        <v>0.01</v>
      </c>
      <c r="N363" s="809">
        <f t="shared" si="118"/>
        <v>0.01</v>
      </c>
      <c r="O363" s="808">
        <f t="shared" si="119"/>
        <v>0.01</v>
      </c>
      <c r="P363" s="808">
        <f t="shared" si="121"/>
        <v>0.01</v>
      </c>
      <c r="Q363" s="808">
        <f t="shared" si="122"/>
        <v>0.01</v>
      </c>
      <c r="R363" s="808">
        <f t="shared" si="120"/>
        <v>0.01</v>
      </c>
      <c r="S363" s="808">
        <f>L363</f>
        <v>0.01</v>
      </c>
      <c r="T363" s="808">
        <f>L363</f>
        <v>0.01</v>
      </c>
      <c r="U363" s="85"/>
      <c r="V363" s="85"/>
      <c r="W363" s="532"/>
      <c r="X363" s="532"/>
      <c r="Y363" s="532"/>
      <c r="Z363" s="532"/>
      <c r="AA363" s="532"/>
      <c r="AB363" s="85"/>
      <c r="AC363" s="85"/>
      <c r="AD363" s="85"/>
      <c r="AG363" s="85"/>
      <c r="AH363" s="85"/>
      <c r="AI363" s="85"/>
    </row>
    <row r="364" spans="1:35" x14ac:dyDescent="0.25">
      <c r="A364" s="84"/>
      <c r="B364" s="340"/>
      <c r="C364" s="30"/>
      <c r="D364" s="30"/>
      <c r="E364" s="30"/>
      <c r="F364" s="30"/>
      <c r="G364" s="347"/>
      <c r="H364" s="348"/>
      <c r="I364" s="85"/>
      <c r="J364" s="85"/>
      <c r="K364" s="85"/>
      <c r="L364" s="85"/>
      <c r="M364" s="85"/>
      <c r="N364" s="246"/>
      <c r="O364" s="85"/>
      <c r="P364" s="85"/>
      <c r="Q364" s="85"/>
      <c r="R364" s="85"/>
      <c r="S364" s="85"/>
      <c r="T364" s="85"/>
      <c r="U364" s="85"/>
      <c r="V364" s="85"/>
      <c r="W364" s="532"/>
      <c r="X364" s="532"/>
      <c r="Y364" s="532"/>
      <c r="Z364" s="532"/>
      <c r="AA364" s="532"/>
      <c r="AB364" s="85"/>
      <c r="AC364" s="85"/>
      <c r="AD364" s="85"/>
      <c r="AE364" s="85"/>
      <c r="AF364" s="85"/>
      <c r="AG364" s="85"/>
      <c r="AH364" s="85"/>
      <c r="AI364" s="85"/>
    </row>
    <row r="365" spans="1:35" x14ac:dyDescent="0.25">
      <c r="A365" s="84"/>
      <c r="B365" s="340"/>
      <c r="C365" s="34"/>
      <c r="D365" s="34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84"/>
      <c r="X365" s="84"/>
      <c r="Y365" s="84"/>
      <c r="Z365" s="84"/>
      <c r="AA365" s="84"/>
      <c r="AB365" s="30"/>
      <c r="AC365" s="30"/>
      <c r="AD365" s="30"/>
      <c r="AE365" s="30"/>
      <c r="AF365" s="30"/>
    </row>
    <row r="366" spans="1:35" x14ac:dyDescent="0.25"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84"/>
      <c r="X366" s="84"/>
      <c r="Y366" s="84"/>
      <c r="Z366" s="84"/>
      <c r="AA366" s="84"/>
      <c r="AB366" s="30"/>
      <c r="AC366" s="30"/>
      <c r="AD366" s="30"/>
      <c r="AE366" s="30"/>
      <c r="AF366" s="30"/>
    </row>
    <row r="367" spans="1:35" x14ac:dyDescent="0.25">
      <c r="A367" s="30" t="s">
        <v>171</v>
      </c>
      <c r="B367" s="34"/>
      <c r="C367" s="34"/>
      <c r="D367" s="34"/>
      <c r="E367" s="30"/>
      <c r="F367" s="30"/>
      <c r="G367" s="507">
        <v>0.05</v>
      </c>
      <c r="H367" s="30"/>
      <c r="I367" s="30"/>
      <c r="J367" s="30" t="s">
        <v>121</v>
      </c>
      <c r="M367" s="30"/>
      <c r="N367" s="142"/>
      <c r="O367" s="142">
        <f>1-L15/12+L10/12</f>
        <v>1</v>
      </c>
      <c r="P367" s="30"/>
      <c r="Q367" s="30"/>
      <c r="R367" s="30"/>
      <c r="S367" s="30"/>
      <c r="T367" s="30"/>
      <c r="U367" s="30"/>
      <c r="V367" s="30"/>
      <c r="W367" s="84"/>
      <c r="X367" s="84"/>
      <c r="Y367" s="84"/>
      <c r="Z367" s="84"/>
      <c r="AA367" s="84"/>
      <c r="AB367" s="30"/>
      <c r="AC367" s="30"/>
      <c r="AD367" s="30"/>
      <c r="AE367" s="30"/>
      <c r="AF367" s="30"/>
    </row>
    <row r="368" spans="1:35" x14ac:dyDescent="0.25">
      <c r="A368" s="30"/>
      <c r="B368" s="34"/>
      <c r="C368" s="34"/>
      <c r="D368" s="34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84"/>
      <c r="X368" s="84"/>
      <c r="Y368" s="84"/>
      <c r="Z368" s="84"/>
      <c r="AA368" s="84"/>
      <c r="AB368" s="30"/>
      <c r="AC368" s="30"/>
      <c r="AD368" s="30"/>
      <c r="AE368" s="30"/>
      <c r="AF368" s="30"/>
    </row>
    <row r="369" spans="1:32" x14ac:dyDescent="0.25">
      <c r="A369" s="30" t="s">
        <v>61</v>
      </c>
      <c r="B369" s="34"/>
      <c r="C369" s="34"/>
      <c r="D369" s="34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84"/>
      <c r="X369" s="84"/>
      <c r="Y369" s="84"/>
      <c r="Z369" s="84"/>
      <c r="AA369" s="84"/>
      <c r="AB369" s="30"/>
      <c r="AC369" s="30"/>
      <c r="AD369" s="30"/>
      <c r="AE369" s="30"/>
      <c r="AF369" s="30"/>
    </row>
    <row r="370" spans="1:32" x14ac:dyDescent="0.25">
      <c r="A370" s="30" t="s">
        <v>62</v>
      </c>
      <c r="B370" s="34"/>
      <c r="C370" s="34"/>
      <c r="D370" s="34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84"/>
      <c r="X370" s="84"/>
      <c r="Y370" s="84"/>
      <c r="Z370" s="84"/>
      <c r="AA370" s="84"/>
      <c r="AB370" s="30"/>
      <c r="AC370" s="30"/>
      <c r="AD370" s="30"/>
      <c r="AE370" s="30"/>
      <c r="AF370" s="30"/>
    </row>
    <row r="371" spans="1:32" x14ac:dyDescent="0.25">
      <c r="A371" s="30" t="s">
        <v>63</v>
      </c>
      <c r="B371" s="34"/>
      <c r="C371" s="34"/>
      <c r="D371" s="34"/>
      <c r="E371" s="30"/>
      <c r="F371" s="30"/>
      <c r="G371" s="30"/>
      <c r="H371" s="136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84"/>
      <c r="X371" s="84"/>
      <c r="Y371" s="84"/>
      <c r="Z371" s="84"/>
      <c r="AA371" s="84"/>
      <c r="AB371" s="30"/>
      <c r="AC371" s="30"/>
      <c r="AD371" s="30"/>
      <c r="AE371" s="30"/>
      <c r="AF371" s="30"/>
    </row>
    <row r="372" spans="1:32" x14ac:dyDescent="0.25">
      <c r="A372" s="30" t="s">
        <v>62</v>
      </c>
      <c r="B372" s="34"/>
      <c r="C372" s="34"/>
      <c r="D372" s="34"/>
      <c r="E372" s="30"/>
      <c r="F372" s="30"/>
      <c r="G372" s="30"/>
      <c r="H372" s="30"/>
      <c r="I372" s="30"/>
      <c r="J372" s="93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84"/>
      <c r="X372" s="84"/>
      <c r="Y372" s="84"/>
      <c r="Z372" s="84"/>
      <c r="AA372" s="84"/>
      <c r="AB372" s="30"/>
      <c r="AC372" s="30"/>
      <c r="AD372" s="30"/>
      <c r="AE372" s="30"/>
      <c r="AF372" s="30"/>
    </row>
    <row r="373" spans="1:32" x14ac:dyDescent="0.25">
      <c r="A373" s="30" t="s">
        <v>64</v>
      </c>
      <c r="B373" s="34"/>
      <c r="C373" s="34"/>
      <c r="D373" s="34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84"/>
      <c r="X373" s="84"/>
      <c r="Y373" s="84"/>
      <c r="Z373" s="84"/>
      <c r="AA373" s="84"/>
      <c r="AB373" s="30"/>
      <c r="AC373" s="30"/>
      <c r="AD373" s="30"/>
      <c r="AE373" s="30"/>
      <c r="AF373" s="30"/>
    </row>
    <row r="374" spans="1:32" x14ac:dyDescent="0.25">
      <c r="A374" s="30" t="s">
        <v>62</v>
      </c>
      <c r="B374" s="34"/>
      <c r="C374" s="34"/>
      <c r="D374" s="34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84"/>
      <c r="X374" s="84"/>
      <c r="Y374" s="84"/>
      <c r="Z374" s="84"/>
      <c r="AA374" s="84"/>
      <c r="AB374" s="30"/>
      <c r="AC374" s="30"/>
      <c r="AD374" s="30"/>
      <c r="AE374" s="30"/>
      <c r="AF374" s="30"/>
    </row>
    <row r="377" spans="1:32" x14ac:dyDescent="0.25">
      <c r="I377" s="83"/>
    </row>
  </sheetData>
  <sheetProtection algorithmName="SHA-512" hashValue="cnh5SE5M8fRNaik7p9efOzPTvYQxNoXfKvBdkUftrZdl5kIpdrYMf6IeRZWaN4aTfKH2PsfIahNlCM1x2pk/4Q==" saltValue="A3oVOVzYYy/mNphmXjwlZg==" spinCount="100000" sheet="1" objects="1" scenarios="1"/>
  <mergeCells count="337">
    <mergeCell ref="G125:L125"/>
    <mergeCell ref="G126:L126"/>
    <mergeCell ref="G127:L127"/>
    <mergeCell ref="G128:L128"/>
    <mergeCell ref="G181:L181"/>
    <mergeCell ref="G182:L182"/>
    <mergeCell ref="G183:L183"/>
    <mergeCell ref="G184:L184"/>
    <mergeCell ref="G235:L235"/>
    <mergeCell ref="V27:W27"/>
    <mergeCell ref="V28:W28"/>
    <mergeCell ref="V29:W29"/>
    <mergeCell ref="V30:W30"/>
    <mergeCell ref="V25:W25"/>
    <mergeCell ref="V26:W26"/>
    <mergeCell ref="V20:Y20"/>
    <mergeCell ref="V21:Y22"/>
    <mergeCell ref="V23:W23"/>
    <mergeCell ref="C329:D329"/>
    <mergeCell ref="C332:D332"/>
    <mergeCell ref="C333:D333"/>
    <mergeCell ref="C330:D330"/>
    <mergeCell ref="C331:D331"/>
    <mergeCell ref="C320:D320"/>
    <mergeCell ref="C321:D321"/>
    <mergeCell ref="C339:D339"/>
    <mergeCell ref="C334:D334"/>
    <mergeCell ref="C335:D335"/>
    <mergeCell ref="C336:D336"/>
    <mergeCell ref="C337:D337"/>
    <mergeCell ref="C325:D325"/>
    <mergeCell ref="C326:D326"/>
    <mergeCell ref="C327:D327"/>
    <mergeCell ref="C328:D328"/>
    <mergeCell ref="C324:D324"/>
    <mergeCell ref="C322:D322"/>
    <mergeCell ref="C323:D323"/>
    <mergeCell ref="E5:L5"/>
    <mergeCell ref="E6:L6"/>
    <mergeCell ref="E7:L7"/>
    <mergeCell ref="E8:L8"/>
    <mergeCell ref="C319:D319"/>
    <mergeCell ref="C311:D311"/>
    <mergeCell ref="C312:D312"/>
    <mergeCell ref="C313:D313"/>
    <mergeCell ref="C314:D314"/>
    <mergeCell ref="C315:D315"/>
    <mergeCell ref="C316:D316"/>
    <mergeCell ref="C317:D317"/>
    <mergeCell ref="C308:D308"/>
    <mergeCell ref="C309:D309"/>
    <mergeCell ref="C318:D318"/>
    <mergeCell ref="C310:D310"/>
    <mergeCell ref="C303:D303"/>
    <mergeCell ref="C304:D304"/>
    <mergeCell ref="C281:D281"/>
    <mergeCell ref="C302:D302"/>
    <mergeCell ref="C307:D307"/>
    <mergeCell ref="C305:D305"/>
    <mergeCell ref="C306:D306"/>
    <mergeCell ref="C298:D298"/>
    <mergeCell ref="C299:D299"/>
    <mergeCell ref="C300:D300"/>
    <mergeCell ref="C301:D301"/>
    <mergeCell ref="C273:D273"/>
    <mergeCell ref="C276:D276"/>
    <mergeCell ref="C277:D277"/>
    <mergeCell ref="C295:D295"/>
    <mergeCell ref="C296:D296"/>
    <mergeCell ref="C282:D282"/>
    <mergeCell ref="C280:D280"/>
    <mergeCell ref="C283:D283"/>
    <mergeCell ref="C278:D278"/>
    <mergeCell ref="C279:D279"/>
    <mergeCell ref="C266:D266"/>
    <mergeCell ref="C270:D270"/>
    <mergeCell ref="C264:D264"/>
    <mergeCell ref="C267:D267"/>
    <mergeCell ref="C297:D297"/>
    <mergeCell ref="A286:O286"/>
    <mergeCell ref="A287:O287"/>
    <mergeCell ref="C294:G294"/>
    <mergeCell ref="C271:D271"/>
    <mergeCell ref="C272:D272"/>
    <mergeCell ref="C265:D265"/>
    <mergeCell ref="C274:D274"/>
    <mergeCell ref="C275:D275"/>
    <mergeCell ref="C268:D268"/>
    <mergeCell ref="C269:D269"/>
    <mergeCell ref="G289:L289"/>
    <mergeCell ref="G290:L290"/>
    <mergeCell ref="G291:L291"/>
    <mergeCell ref="G292:L292"/>
    <mergeCell ref="C262:D262"/>
    <mergeCell ref="C263:D263"/>
    <mergeCell ref="C247:D247"/>
    <mergeCell ref="C253:D253"/>
    <mergeCell ref="C254:D254"/>
    <mergeCell ref="C227:D227"/>
    <mergeCell ref="C229:D229"/>
    <mergeCell ref="C228:D228"/>
    <mergeCell ref="C221:D221"/>
    <mergeCell ref="C222:D222"/>
    <mergeCell ref="C223:D223"/>
    <mergeCell ref="C224:D224"/>
    <mergeCell ref="C258:D258"/>
    <mergeCell ref="C259:D259"/>
    <mergeCell ref="C260:D260"/>
    <mergeCell ref="C261:D261"/>
    <mergeCell ref="C255:D255"/>
    <mergeCell ref="C256:D256"/>
    <mergeCell ref="C257:D257"/>
    <mergeCell ref="C245:D245"/>
    <mergeCell ref="A232:O232"/>
    <mergeCell ref="C249:D249"/>
    <mergeCell ref="C250:D250"/>
    <mergeCell ref="C251:D251"/>
    <mergeCell ref="C252:D252"/>
    <mergeCell ref="C248:D248"/>
    <mergeCell ref="C225:D225"/>
    <mergeCell ref="C226:D226"/>
    <mergeCell ref="C246:D246"/>
    <mergeCell ref="C241:D241"/>
    <mergeCell ref="C242:D242"/>
    <mergeCell ref="C217:D217"/>
    <mergeCell ref="C219:D219"/>
    <mergeCell ref="C240:G240"/>
    <mergeCell ref="C220:D220"/>
    <mergeCell ref="C243:D243"/>
    <mergeCell ref="C244:D244"/>
    <mergeCell ref="A233:O233"/>
    <mergeCell ref="G236:L236"/>
    <mergeCell ref="G237:L237"/>
    <mergeCell ref="G238:L238"/>
    <mergeCell ref="C216:D216"/>
    <mergeCell ref="C201:D201"/>
    <mergeCell ref="C218:D218"/>
    <mergeCell ref="C204:D204"/>
    <mergeCell ref="C205:D205"/>
    <mergeCell ref="C206:D206"/>
    <mergeCell ref="C207:D207"/>
    <mergeCell ref="C208:D208"/>
    <mergeCell ref="C209:D209"/>
    <mergeCell ref="C211:D211"/>
    <mergeCell ref="C191:D191"/>
    <mergeCell ref="C192:D192"/>
    <mergeCell ref="C215:D215"/>
    <mergeCell ref="C212:D212"/>
    <mergeCell ref="C213:D213"/>
    <mergeCell ref="C214:D214"/>
    <mergeCell ref="C210:D210"/>
    <mergeCell ref="C202:D202"/>
    <mergeCell ref="C196:D196"/>
    <mergeCell ref="C203:D203"/>
    <mergeCell ref="C164:D164"/>
    <mergeCell ref="C200:D200"/>
    <mergeCell ref="C165:D165"/>
    <mergeCell ref="C169:D169"/>
    <mergeCell ref="C170:D170"/>
    <mergeCell ref="C171:D171"/>
    <mergeCell ref="C172:D172"/>
    <mergeCell ref="C193:D193"/>
    <mergeCell ref="C197:D197"/>
    <mergeCell ref="C198:D198"/>
    <mergeCell ref="C199:D199"/>
    <mergeCell ref="C166:D166"/>
    <mergeCell ref="C194:D194"/>
    <mergeCell ref="C188:D188"/>
    <mergeCell ref="C189:D189"/>
    <mergeCell ref="C190:D190"/>
    <mergeCell ref="C167:D167"/>
    <mergeCell ref="C168:D168"/>
    <mergeCell ref="C173:D173"/>
    <mergeCell ref="C187:D187"/>
    <mergeCell ref="A178:O178"/>
    <mergeCell ref="A179:O179"/>
    <mergeCell ref="C186:G186"/>
    <mergeCell ref="C195:D195"/>
    <mergeCell ref="C163:D163"/>
    <mergeCell ref="C154:D154"/>
    <mergeCell ref="C149:D149"/>
    <mergeCell ref="C155:D155"/>
    <mergeCell ref="C156:D156"/>
    <mergeCell ref="C157:D157"/>
    <mergeCell ref="C151:D151"/>
    <mergeCell ref="C152:D152"/>
    <mergeCell ref="C158:D158"/>
    <mergeCell ref="C159:D159"/>
    <mergeCell ref="C161:D161"/>
    <mergeCell ref="C162:D162"/>
    <mergeCell ref="C160:D160"/>
    <mergeCell ref="C140:D140"/>
    <mergeCell ref="C153:D153"/>
    <mergeCell ref="C145:D145"/>
    <mergeCell ref="C141:D141"/>
    <mergeCell ref="C146:D146"/>
    <mergeCell ref="C150:D150"/>
    <mergeCell ref="C142:D142"/>
    <mergeCell ref="C143:D143"/>
    <mergeCell ref="C144:D144"/>
    <mergeCell ref="C147:D147"/>
    <mergeCell ref="C148:D148"/>
    <mergeCell ref="C131:D131"/>
    <mergeCell ref="H11:K11"/>
    <mergeCell ref="G16:K16"/>
    <mergeCell ref="C136:D136"/>
    <mergeCell ref="C137:D137"/>
    <mergeCell ref="C138:D138"/>
    <mergeCell ref="C107:D107"/>
    <mergeCell ref="C83:D83"/>
    <mergeCell ref="C94:D94"/>
    <mergeCell ref="C82:D82"/>
    <mergeCell ref="C106:D106"/>
    <mergeCell ref="G18:K18"/>
    <mergeCell ref="C95:D95"/>
    <mergeCell ref="C87:D87"/>
    <mergeCell ref="C79:D79"/>
    <mergeCell ref="C80:D80"/>
    <mergeCell ref="C112:D112"/>
    <mergeCell ref="C130:G130"/>
    <mergeCell ref="A122:O122"/>
    <mergeCell ref="A123:O123"/>
    <mergeCell ref="C115:D115"/>
    <mergeCell ref="C116:D116"/>
    <mergeCell ref="C118:D118"/>
    <mergeCell ref="C119:D119"/>
    <mergeCell ref="C139:D139"/>
    <mergeCell ref="A1:P1"/>
    <mergeCell ref="A2:P2"/>
    <mergeCell ref="O4:Q4"/>
    <mergeCell ref="O5:Q5"/>
    <mergeCell ref="O6:Q6"/>
    <mergeCell ref="O7:Q7"/>
    <mergeCell ref="O10:Q10"/>
    <mergeCell ref="O13:Q13"/>
    <mergeCell ref="O8:Q8"/>
    <mergeCell ref="C135:D135"/>
    <mergeCell ref="G20:K20"/>
    <mergeCell ref="A68:O68"/>
    <mergeCell ref="A69:O69"/>
    <mergeCell ref="C133:D133"/>
    <mergeCell ref="C114:D114"/>
    <mergeCell ref="C84:D84"/>
    <mergeCell ref="C92:D92"/>
    <mergeCell ref="C93:D93"/>
    <mergeCell ref="C99:D99"/>
    <mergeCell ref="O9:Q9"/>
    <mergeCell ref="C132:D132"/>
    <mergeCell ref="C134:D134"/>
    <mergeCell ref="C105:D105"/>
    <mergeCell ref="G17:K17"/>
    <mergeCell ref="H12:K12"/>
    <mergeCell ref="G15:K15"/>
    <mergeCell ref="O14:Q14"/>
    <mergeCell ref="C110:D110"/>
    <mergeCell ref="C102:D102"/>
    <mergeCell ref="C88:D88"/>
    <mergeCell ref="C109:D109"/>
    <mergeCell ref="O15:Q15"/>
    <mergeCell ref="G71:L71"/>
    <mergeCell ref="G72:L72"/>
    <mergeCell ref="G73:L73"/>
    <mergeCell ref="G74:L74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H10:K10"/>
    <mergeCell ref="G19:K19"/>
    <mergeCell ref="C117:D117"/>
    <mergeCell ref="C113:D113"/>
    <mergeCell ref="C111:D111"/>
    <mergeCell ref="AM9:AS9"/>
    <mergeCell ref="S20:S23"/>
    <mergeCell ref="R17:R19"/>
    <mergeCell ref="Q17:Q19"/>
    <mergeCell ref="C100:D100"/>
    <mergeCell ref="N21:O21"/>
    <mergeCell ref="C104:D104"/>
    <mergeCell ref="C108:D108"/>
    <mergeCell ref="C78:D78"/>
    <mergeCell ref="C103:D103"/>
    <mergeCell ref="C101:D101"/>
    <mergeCell ref="C91:D91"/>
    <mergeCell ref="C90:D90"/>
    <mergeCell ref="C97:D97"/>
    <mergeCell ref="C98:D98"/>
    <mergeCell ref="C96:D96"/>
    <mergeCell ref="O11:Q11"/>
    <mergeCell ref="O12:Q12"/>
    <mergeCell ref="O16:Q16"/>
    <mergeCell ref="A22:B22"/>
    <mergeCell ref="C77:D77"/>
    <mergeCell ref="N22:O22"/>
    <mergeCell ref="C85:D85"/>
    <mergeCell ref="C89:D89"/>
    <mergeCell ref="C86:D86"/>
    <mergeCell ref="N23:O23"/>
    <mergeCell ref="C81:D81"/>
    <mergeCell ref="A21:B21"/>
    <mergeCell ref="C76:G76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58:O58"/>
    <mergeCell ref="N59:O59"/>
    <mergeCell ref="N60:O60"/>
    <mergeCell ref="N61:O61"/>
    <mergeCell ref="N62:O62"/>
    <mergeCell ref="N63:O63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</mergeCells>
  <phoneticPr fontId="0" type="noConversion"/>
  <pageMargins left="0.5" right="0.25" top="0.5" bottom="0.4" header="0.5" footer="0.4"/>
  <pageSetup scale="64" orientation="landscape" r:id="rId1"/>
  <headerFooter alignWithMargins="0">
    <oddFooter>&amp;L&amp;8HSC Pre-Award Administration&amp;C&amp;8&amp;F, Page &amp;P&amp;R&amp;8&amp;D</oddFooter>
  </headerFooter>
  <rowBreaks count="5" manualBreakCount="5">
    <brk id="65" max="16383" man="1"/>
    <brk id="120" max="16383" man="1"/>
    <brk id="175" max="16383" man="1"/>
    <brk id="230" max="16383" man="1"/>
    <brk id="28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11"/>
  </sheetPr>
  <dimension ref="A1:AA447"/>
  <sheetViews>
    <sheetView topLeftCell="A340" zoomScale="90" zoomScaleNormal="90" zoomScaleSheetLayoutView="90" workbookViewId="0">
      <selection activeCell="D372" sqref="D372"/>
    </sheetView>
  </sheetViews>
  <sheetFormatPr defaultColWidth="8.7265625" defaultRowHeight="12.5" x14ac:dyDescent="0.25"/>
  <cols>
    <col min="1" max="1" width="13.7265625" customWidth="1"/>
    <col min="2" max="2" width="10.7265625" customWidth="1"/>
    <col min="3" max="3" width="9.26953125" style="1" customWidth="1"/>
    <col min="4" max="4" width="10.7265625" customWidth="1"/>
    <col min="5" max="5" width="5.81640625" customWidth="1"/>
    <col min="6" max="6" width="10.7265625" customWidth="1"/>
    <col min="7" max="8" width="5.81640625" customWidth="1"/>
    <col min="9" max="11" width="10.453125" customWidth="1"/>
    <col min="12" max="12" width="10.26953125" customWidth="1"/>
    <col min="13" max="13" width="5.81640625" customWidth="1"/>
    <col min="14" max="14" width="11.26953125" customWidth="1"/>
    <col min="15" max="15" width="6.81640625" customWidth="1"/>
    <col min="16" max="19" width="11.26953125" customWidth="1"/>
    <col min="20" max="20" width="14.54296875" customWidth="1"/>
  </cols>
  <sheetData>
    <row r="1" spans="1:27" x14ac:dyDescent="0.25">
      <c r="A1" s="918" t="s">
        <v>206</v>
      </c>
      <c r="B1" s="918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672" t="s">
        <v>1</v>
      </c>
      <c r="Q1" s="673"/>
      <c r="R1" s="673"/>
      <c r="S1" s="673"/>
      <c r="T1" s="674"/>
      <c r="U1" s="674"/>
      <c r="V1" s="674"/>
      <c r="W1" s="674"/>
      <c r="X1" s="674"/>
      <c r="Y1" s="674"/>
      <c r="Z1" s="674"/>
      <c r="AA1" s="674"/>
    </row>
    <row r="2" spans="1:27" x14ac:dyDescent="0.25">
      <c r="A2" s="918" t="s">
        <v>2</v>
      </c>
      <c r="B2" s="918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673">
        <f>ENDDATE-CURRENTFYE</f>
        <v>-45107</v>
      </c>
      <c r="Q2" s="673" t="s">
        <v>3</v>
      </c>
      <c r="R2" s="673"/>
      <c r="S2" s="673"/>
      <c r="T2" s="674"/>
      <c r="U2" s="674"/>
      <c r="V2" s="674"/>
      <c r="W2" s="674"/>
      <c r="X2" s="674"/>
      <c r="Y2" s="674"/>
      <c r="Z2" s="674"/>
      <c r="AA2" s="674"/>
    </row>
    <row r="3" spans="1:27" ht="13.5" thickBot="1" x14ac:dyDescent="0.35">
      <c r="A3" s="190" t="str">
        <f>+'Salary Detail'!A3</f>
        <v>Revised 3/14/2023</v>
      </c>
      <c r="B3" s="190"/>
      <c r="C3" s="191"/>
      <c r="D3" s="192"/>
      <c r="E3" s="192"/>
      <c r="F3" s="193"/>
      <c r="G3" s="193"/>
      <c r="H3" s="194"/>
      <c r="I3" s="192"/>
      <c r="J3" s="192"/>
      <c r="K3" s="192"/>
      <c r="L3" s="192"/>
      <c r="M3" s="192"/>
      <c r="N3" s="195"/>
      <c r="O3" s="192"/>
      <c r="P3" s="675">
        <f>IF(AND(CFYE_ED&gt;365,CFYE_ED&lt;=730),(1+K15)^2,IF(AND(CFYE_ED&gt;730,CFYE_ED&lt;=1095),(1+K15)^3,IF(AND(CFYE_ED&gt;1095,CFYE_ED&lt;=1460),(1+K15)^4,IF(AND(CFYE_ED&gt;1460,CFYE_ED&lt;=1825),(1+K15)^5,IF(AND(CFYE_ED&gt;1825,CFYE_ED&lt;=2190),(1+K15)^6,IF(AND(CFYE_ED&gt;2190,CFYE_ED&lt;=2555),(1+K15)^7,IF(AND(CFYE_ED&gt;2555,CFYE_ED&lt;=2920),(1+K15)^8,1.04)))))))</f>
        <v>1.04</v>
      </c>
      <c r="Q3" s="673" t="s">
        <v>4</v>
      </c>
      <c r="R3" s="673"/>
      <c r="S3" s="673"/>
      <c r="T3" s="674"/>
      <c r="U3" s="674"/>
      <c r="V3" s="674"/>
      <c r="W3" s="674"/>
      <c r="X3" s="674"/>
      <c r="Y3" s="674"/>
      <c r="Z3" s="674"/>
      <c r="AA3" s="674"/>
    </row>
    <row r="4" spans="1:27" x14ac:dyDescent="0.25">
      <c r="A4" s="196"/>
      <c r="B4" s="196"/>
      <c r="C4" s="191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920" t="s">
        <v>23</v>
      </c>
      <c r="O4" s="921"/>
      <c r="P4" s="673"/>
      <c r="Q4" s="673" t="s">
        <v>5</v>
      </c>
      <c r="R4" s="673"/>
      <c r="S4" s="673"/>
      <c r="T4" s="674"/>
      <c r="U4" s="674"/>
      <c r="V4" s="674"/>
      <c r="W4" s="674"/>
      <c r="X4" s="674"/>
      <c r="Y4" s="674"/>
      <c r="Z4" s="674"/>
      <c r="AA4" s="674"/>
    </row>
    <row r="5" spans="1:27" ht="13" thickBot="1" x14ac:dyDescent="0.3">
      <c r="A5" s="196"/>
      <c r="B5" s="196"/>
      <c r="C5" s="191" t="s">
        <v>6</v>
      </c>
      <c r="D5" s="915" t="str">
        <f>IF('Salary Detail'!E5=0,"",'Salary Detail'!E5)</f>
        <v/>
      </c>
      <c r="E5" s="916"/>
      <c r="F5" s="917"/>
      <c r="G5" s="917"/>
      <c r="H5" s="917"/>
      <c r="I5" s="917"/>
      <c r="J5" s="917"/>
      <c r="K5" s="917"/>
      <c r="L5" s="197"/>
      <c r="M5" s="197"/>
      <c r="N5" s="922" t="s">
        <v>123</v>
      </c>
      <c r="O5" s="923"/>
      <c r="P5" s="673">
        <v>365</v>
      </c>
      <c r="Q5" s="673" t="s">
        <v>7</v>
      </c>
      <c r="R5" s="673"/>
      <c r="S5" s="673"/>
      <c r="T5" s="674"/>
      <c r="U5" s="674"/>
      <c r="V5" s="674"/>
      <c r="W5" s="674"/>
      <c r="X5" s="674"/>
      <c r="Y5" s="674"/>
      <c r="Z5" s="674"/>
      <c r="AA5" s="674"/>
    </row>
    <row r="6" spans="1:27" x14ac:dyDescent="0.25">
      <c r="A6" s="196"/>
      <c r="B6" s="196"/>
      <c r="C6" s="191" t="s">
        <v>8</v>
      </c>
      <c r="D6" s="915" t="str">
        <f>IF('Salary Detail'!E6=0,"",'Salary Detail'!E6)</f>
        <v/>
      </c>
      <c r="E6" s="916"/>
      <c r="F6" s="917"/>
      <c r="G6" s="917"/>
      <c r="H6" s="917"/>
      <c r="I6" s="917"/>
      <c r="J6" s="917"/>
      <c r="K6" s="917"/>
      <c r="L6" s="198"/>
      <c r="M6" s="198"/>
      <c r="N6" s="914" t="s">
        <v>125</v>
      </c>
      <c r="O6" s="913"/>
      <c r="P6" s="673"/>
      <c r="Q6" s="673" t="s">
        <v>9</v>
      </c>
      <c r="R6" s="673"/>
      <c r="S6" s="673"/>
      <c r="T6" s="674"/>
      <c r="U6" s="674"/>
      <c r="V6" s="674"/>
      <c r="W6" s="674"/>
      <c r="X6" s="674"/>
      <c r="Y6" s="674"/>
      <c r="Z6" s="674"/>
      <c r="AA6" s="674"/>
    </row>
    <row r="7" spans="1:27" x14ac:dyDescent="0.25">
      <c r="A7" s="196"/>
      <c r="B7" s="196"/>
      <c r="C7" s="191" t="s">
        <v>122</v>
      </c>
      <c r="D7" s="915" t="str">
        <f>IF('Salary Detail'!E7=0,"",'Salary Detail'!E7)</f>
        <v/>
      </c>
      <c r="E7" s="916"/>
      <c r="F7" s="917"/>
      <c r="G7" s="917"/>
      <c r="H7" s="917"/>
      <c r="I7" s="917"/>
      <c r="J7" s="917"/>
      <c r="K7" s="917"/>
      <c r="L7" s="198"/>
      <c r="M7" s="198"/>
      <c r="N7" s="912" t="s">
        <v>130</v>
      </c>
      <c r="O7" s="913"/>
      <c r="P7" s="673"/>
      <c r="Q7" s="673"/>
      <c r="R7" s="673"/>
      <c r="S7" s="673"/>
      <c r="T7" s="674"/>
      <c r="U7" s="674"/>
      <c r="V7" s="674"/>
      <c r="W7" s="674"/>
      <c r="X7" s="674"/>
      <c r="Y7" s="674"/>
      <c r="Z7" s="674"/>
      <c r="AA7" s="674"/>
    </row>
    <row r="8" spans="1:27" x14ac:dyDescent="0.25">
      <c r="A8" s="196"/>
      <c r="B8" s="196"/>
      <c r="C8" s="191" t="s">
        <v>10</v>
      </c>
      <c r="D8" s="915" t="str">
        <f>IF('Salary Detail'!E8=0,"",'Salary Detail'!E8)</f>
        <v/>
      </c>
      <c r="E8" s="916"/>
      <c r="F8" s="917"/>
      <c r="G8" s="917"/>
      <c r="H8" s="917"/>
      <c r="I8" s="917"/>
      <c r="J8" s="917"/>
      <c r="K8" s="917"/>
      <c r="L8" s="198"/>
      <c r="M8" s="198"/>
      <c r="N8" s="914" t="s">
        <v>126</v>
      </c>
      <c r="O8" s="913"/>
      <c r="P8" s="673"/>
      <c r="Q8" s="673" t="s">
        <v>11</v>
      </c>
      <c r="R8" s="673"/>
      <c r="S8" s="673"/>
      <c r="T8" s="674"/>
      <c r="U8" s="674"/>
      <c r="V8" s="674"/>
      <c r="W8" s="674"/>
      <c r="X8" s="674"/>
      <c r="Y8" s="674"/>
      <c r="Z8" s="674"/>
      <c r="AA8" s="674"/>
    </row>
    <row r="9" spans="1:27" x14ac:dyDescent="0.25">
      <c r="A9" s="196"/>
      <c r="B9" s="196"/>
      <c r="C9" s="191"/>
      <c r="D9" s="196"/>
      <c r="E9" s="196"/>
      <c r="F9" s="196"/>
      <c r="G9" s="196"/>
      <c r="H9" s="196"/>
      <c r="I9" s="196"/>
      <c r="J9" s="196"/>
      <c r="K9" s="196"/>
      <c r="L9" s="198"/>
      <c r="M9" s="198"/>
      <c r="N9" s="914" t="s">
        <v>127</v>
      </c>
      <c r="O9" s="913"/>
      <c r="P9" s="674"/>
      <c r="Q9" s="674"/>
      <c r="R9" s="674"/>
      <c r="S9" s="674"/>
      <c r="T9" s="674"/>
      <c r="U9" s="674"/>
      <c r="V9" s="674"/>
      <c r="W9" s="674"/>
      <c r="X9" s="674"/>
      <c r="Y9" s="674"/>
      <c r="Z9" s="674"/>
      <c r="AA9" s="674"/>
    </row>
    <row r="10" spans="1:27" x14ac:dyDescent="0.25">
      <c r="A10" s="196"/>
      <c r="B10" s="196"/>
      <c r="C10" s="191" t="s">
        <v>12</v>
      </c>
      <c r="D10" s="234">
        <f>CURRENTFYE</f>
        <v>45107</v>
      </c>
      <c r="E10" s="199"/>
      <c r="F10" s="195"/>
      <c r="G10" s="935" t="s">
        <v>207</v>
      </c>
      <c r="H10" s="836"/>
      <c r="I10" s="836"/>
      <c r="J10" s="836"/>
      <c r="K10" s="233" t="str">
        <f>IF(NUMMONTHS="","",NUMMONTHS)</f>
        <v/>
      </c>
      <c r="L10" s="198"/>
      <c r="M10" s="198"/>
      <c r="N10" s="914" t="s">
        <v>134</v>
      </c>
      <c r="O10" s="913"/>
      <c r="P10" s="674"/>
      <c r="Q10" s="674"/>
      <c r="R10" s="674"/>
      <c r="S10" s="674"/>
      <c r="T10" s="674"/>
      <c r="U10" s="674"/>
      <c r="V10" s="674"/>
      <c r="W10" s="674"/>
      <c r="X10" s="674"/>
      <c r="Y10" s="674"/>
      <c r="Z10" s="674"/>
      <c r="AA10" s="674"/>
    </row>
    <row r="11" spans="1:27" x14ac:dyDescent="0.25">
      <c r="A11" s="196"/>
      <c r="B11" s="196"/>
      <c r="C11" s="191" t="s">
        <v>119</v>
      </c>
      <c r="D11" s="232" t="str">
        <f>IF(STARTDATE = "", " ", STARTDATE)</f>
        <v xml:space="preserve"> </v>
      </c>
      <c r="E11" s="199"/>
      <c r="F11" s="195"/>
      <c r="G11" s="935" t="s">
        <v>181</v>
      </c>
      <c r="H11" s="836"/>
      <c r="I11" s="836"/>
      <c r="J11" s="836"/>
      <c r="K11" s="200">
        <f>ROUNDUP(totalyrs,0)</f>
        <v>1</v>
      </c>
      <c r="L11" s="198"/>
      <c r="M11" s="198"/>
      <c r="N11" s="914" t="s">
        <v>128</v>
      </c>
      <c r="O11" s="913"/>
      <c r="P11" s="674"/>
      <c r="Q11" s="674"/>
      <c r="R11" s="674"/>
      <c r="S11" s="674"/>
      <c r="T11" s="674"/>
      <c r="U11" s="674"/>
      <c r="V11" s="674"/>
      <c r="W11" s="674"/>
      <c r="X11" s="674"/>
      <c r="Y11" s="674"/>
      <c r="Z11" s="674"/>
      <c r="AA11" s="674"/>
    </row>
    <row r="12" spans="1:27" x14ac:dyDescent="0.25">
      <c r="A12" s="196"/>
      <c r="B12" s="196"/>
      <c r="C12" s="191" t="s">
        <v>120</v>
      </c>
      <c r="D12" s="232" t="str">
        <f>IF(ENDDATE="","",ENDDATE)</f>
        <v/>
      </c>
      <c r="E12" s="199"/>
      <c r="F12" s="195"/>
      <c r="G12" s="935" t="s">
        <v>112</v>
      </c>
      <c r="H12" s="836"/>
      <c r="I12" s="836"/>
      <c r="J12" s="836"/>
      <c r="K12" s="200">
        <f>ABS(CURRENTFYE-ENDDATE)</f>
        <v>45107</v>
      </c>
      <c r="L12" s="201"/>
      <c r="M12" s="201"/>
      <c r="N12" s="69" t="s">
        <v>129</v>
      </c>
      <c r="O12" s="68"/>
      <c r="P12" s="674"/>
      <c r="Q12" s="676"/>
      <c r="R12" s="676"/>
      <c r="S12" s="676"/>
      <c r="T12" s="674"/>
      <c r="U12" s="674"/>
      <c r="V12" s="674"/>
      <c r="W12" s="674"/>
      <c r="X12" s="674"/>
      <c r="Y12" s="674"/>
      <c r="Z12" s="674"/>
      <c r="AA12" s="674"/>
    </row>
    <row r="13" spans="1:27" ht="36.75" customHeight="1" x14ac:dyDescent="0.25">
      <c r="A13" s="196"/>
      <c r="B13" s="196"/>
      <c r="C13" s="191"/>
      <c r="D13" s="195"/>
      <c r="E13" s="195"/>
      <c r="F13" s="196"/>
      <c r="G13" s="196"/>
      <c r="H13" s="196"/>
      <c r="I13" s="196"/>
      <c r="J13" s="196"/>
      <c r="K13" s="202"/>
      <c r="L13" s="195"/>
      <c r="M13" s="195"/>
      <c r="N13" s="936" t="s">
        <v>124</v>
      </c>
      <c r="O13" s="913"/>
      <c r="P13" s="676" t="s">
        <v>13</v>
      </c>
      <c r="Q13" s="676"/>
      <c r="R13" s="676"/>
      <c r="S13" s="676"/>
      <c r="T13" s="674"/>
      <c r="U13" s="674"/>
      <c r="V13" s="674"/>
      <c r="W13" s="674"/>
      <c r="X13" s="674"/>
      <c r="Y13" s="674"/>
      <c r="Z13" s="674"/>
      <c r="AA13" s="674"/>
    </row>
    <row r="14" spans="1:27" ht="13" thickBot="1" x14ac:dyDescent="0.3">
      <c r="A14" s="196"/>
      <c r="B14" s="196"/>
      <c r="C14" s="191"/>
      <c r="D14" s="195"/>
      <c r="E14" s="195"/>
      <c r="F14" s="935" t="s">
        <v>140</v>
      </c>
      <c r="G14" s="836"/>
      <c r="H14" s="836"/>
      <c r="I14" s="836"/>
      <c r="J14" s="836"/>
      <c r="K14" s="81">
        <f>ROUND((ENDDATE-STARTDATE)/(365.25/12),0)</f>
        <v>0</v>
      </c>
      <c r="L14" s="203"/>
      <c r="M14" s="203"/>
      <c r="N14" s="937"/>
      <c r="O14" s="923"/>
      <c r="P14" s="673" t="s">
        <v>15</v>
      </c>
      <c r="Q14" s="673" t="s">
        <v>15</v>
      </c>
      <c r="R14" s="673" t="s">
        <v>16</v>
      </c>
      <c r="S14" s="673" t="s">
        <v>16</v>
      </c>
      <c r="T14" s="674"/>
      <c r="U14" s="674"/>
      <c r="V14" s="674"/>
      <c r="W14" s="674"/>
      <c r="X14" s="674"/>
      <c r="Y14" s="674"/>
      <c r="Z14" s="674"/>
      <c r="AA14" s="674"/>
    </row>
    <row r="15" spans="1:27" ht="12.75" customHeight="1" x14ac:dyDescent="0.25">
      <c r="A15" s="196"/>
      <c r="B15" s="196"/>
      <c r="C15" s="191"/>
      <c r="D15" s="195"/>
      <c r="E15" s="195"/>
      <c r="F15" s="935" t="s">
        <v>113</v>
      </c>
      <c r="G15" s="836"/>
      <c r="H15" s="836"/>
      <c r="I15" s="836"/>
      <c r="J15" s="836"/>
      <c r="K15" s="20">
        <v>0.04</v>
      </c>
      <c r="L15" s="196"/>
      <c r="M15" s="196"/>
      <c r="N15" s="195"/>
      <c r="O15" s="938"/>
      <c r="P15" s="673" t="s">
        <v>17</v>
      </c>
      <c r="Q15" s="673" t="s">
        <v>18</v>
      </c>
      <c r="R15" s="673" t="s">
        <v>17</v>
      </c>
      <c r="S15" s="673" t="s">
        <v>18</v>
      </c>
      <c r="T15" s="674"/>
      <c r="U15" s="674"/>
      <c r="V15" s="674"/>
      <c r="W15" s="674"/>
      <c r="X15" s="674"/>
      <c r="Y15" s="674"/>
      <c r="Z15" s="674"/>
      <c r="AA15" s="674"/>
    </row>
    <row r="16" spans="1:27" x14ac:dyDescent="0.25">
      <c r="A16" s="196"/>
      <c r="B16" s="196"/>
      <c r="C16" s="191"/>
      <c r="D16" s="195"/>
      <c r="E16" s="195"/>
      <c r="F16" s="195"/>
      <c r="G16" s="935" t="s">
        <v>114</v>
      </c>
      <c r="H16" s="836"/>
      <c r="I16" s="836"/>
      <c r="J16" s="836"/>
      <c r="K16" s="21">
        <f>SUM(P16:S16)</f>
        <v>1</v>
      </c>
      <c r="L16" s="196"/>
      <c r="M16" s="196"/>
      <c r="N16" s="195"/>
      <c r="O16" s="919"/>
      <c r="P16" s="675">
        <f>IF(PERIOD1&lt;365,IF(ENDDATE&lt;=CURRENTFYE,PERIOD1/365,0),0)</f>
        <v>0</v>
      </c>
      <c r="Q16" s="675">
        <f>IF(PERIOD1&lt;365,IF(ENDDATE&gt;CURRENTFYE,CFYE_EDPCNT*(PERIOD1/365),0),0)</f>
        <v>0</v>
      </c>
      <c r="R16" s="675">
        <f>IF(PERIOD1&gt;=365,IF(ENDDATE&lt;=CURRENTFYE,1,0),0)</f>
        <v>1</v>
      </c>
      <c r="S16" s="675">
        <f>IF(PERIOD1&gt;=365,IF(ENDDATE&gt;CURRENTFYE,1+($K$15*ENDDAYS/365),0),0)</f>
        <v>0</v>
      </c>
      <c r="T16" s="674"/>
      <c r="U16" s="674"/>
      <c r="V16" s="674"/>
      <c r="W16" s="674"/>
      <c r="X16" s="674"/>
      <c r="Y16" s="674"/>
      <c r="Z16" s="674"/>
      <c r="AA16" s="674"/>
    </row>
    <row r="17" spans="1:27" x14ac:dyDescent="0.25">
      <c r="A17" s="196"/>
      <c r="B17" s="196"/>
      <c r="C17" s="191"/>
      <c r="D17" s="195"/>
      <c r="E17" s="195"/>
      <c r="F17" s="195"/>
      <c r="G17" s="935" t="s">
        <v>208</v>
      </c>
      <c r="H17" s="836"/>
      <c r="I17" s="836"/>
      <c r="J17" s="836"/>
      <c r="K17" s="274">
        <f>MAXSAL</f>
        <v>212100</v>
      </c>
      <c r="L17" s="196"/>
      <c r="M17" s="196"/>
      <c r="N17" s="195"/>
      <c r="O17" s="919"/>
      <c r="P17" s="673"/>
      <c r="Q17" s="673"/>
      <c r="R17" s="673"/>
      <c r="S17" s="673" t="s">
        <v>14</v>
      </c>
      <c r="T17" s="674"/>
      <c r="U17" s="674"/>
      <c r="V17" s="674"/>
      <c r="W17" s="674"/>
      <c r="X17" s="674"/>
      <c r="Y17" s="674"/>
      <c r="Z17" s="674"/>
      <c r="AA17" s="674"/>
    </row>
    <row r="18" spans="1:27" x14ac:dyDescent="0.25">
      <c r="A18" s="196"/>
      <c r="B18" s="196"/>
      <c r="C18" s="191"/>
      <c r="D18" s="196"/>
      <c r="E18" s="196"/>
      <c r="F18" s="196"/>
      <c r="G18" s="196"/>
      <c r="H18" s="196"/>
      <c r="I18" s="196"/>
      <c r="J18" s="196"/>
      <c r="K18" s="204"/>
      <c r="L18" s="196"/>
      <c r="M18" s="196"/>
      <c r="N18" s="195"/>
      <c r="O18" s="919"/>
      <c r="P18" s="673"/>
      <c r="Q18" s="673"/>
      <c r="R18" s="673"/>
      <c r="S18" s="673"/>
      <c r="T18" s="674"/>
      <c r="U18" s="674"/>
      <c r="V18" s="674"/>
      <c r="W18" s="674"/>
      <c r="X18" s="674"/>
      <c r="Y18" s="674"/>
      <c r="Z18" s="674"/>
      <c r="AA18" s="674"/>
    </row>
    <row r="19" spans="1:27" x14ac:dyDescent="0.25">
      <c r="A19" s="196"/>
      <c r="B19" s="196"/>
      <c r="C19" s="191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5"/>
      <c r="O19" s="196"/>
      <c r="P19" s="676" t="s">
        <v>19</v>
      </c>
      <c r="Q19" s="676"/>
      <c r="R19" s="676"/>
      <c r="S19" s="676"/>
      <c r="T19" s="677" t="s">
        <v>20</v>
      </c>
      <c r="U19" s="674"/>
      <c r="V19" s="674"/>
      <c r="W19" s="674"/>
      <c r="X19" s="674"/>
      <c r="Y19" s="674"/>
      <c r="Z19" s="674"/>
      <c r="AA19" s="674"/>
    </row>
    <row r="20" spans="1:27" x14ac:dyDescent="0.25">
      <c r="A20" s="931" t="s">
        <v>13</v>
      </c>
      <c r="B20" s="932"/>
      <c r="C20" s="67"/>
      <c r="D20" s="22" t="s">
        <v>21</v>
      </c>
      <c r="E20" s="22"/>
      <c r="F20" s="22" t="s">
        <v>209</v>
      </c>
      <c r="G20" s="22" t="s">
        <v>28</v>
      </c>
      <c r="H20" s="22"/>
      <c r="I20" s="23"/>
      <c r="J20" s="23"/>
      <c r="K20" s="22" t="s">
        <v>23</v>
      </c>
      <c r="L20" s="22" t="s">
        <v>23</v>
      </c>
      <c r="M20" s="22"/>
      <c r="N20" s="24" t="s">
        <v>24</v>
      </c>
      <c r="O20" s="161" t="s">
        <v>23</v>
      </c>
      <c r="P20" s="673"/>
      <c r="Q20" s="676" t="s">
        <v>25</v>
      </c>
      <c r="R20" s="676"/>
      <c r="S20" s="676"/>
      <c r="T20" s="676"/>
      <c r="U20" s="678" t="s">
        <v>26</v>
      </c>
      <c r="V20" s="674"/>
      <c r="W20" s="674"/>
      <c r="X20" s="674"/>
      <c r="Y20" s="674"/>
      <c r="Z20" s="674"/>
      <c r="AA20" s="674"/>
    </row>
    <row r="21" spans="1:27" x14ac:dyDescent="0.25">
      <c r="A21" s="933" t="s">
        <v>226</v>
      </c>
      <c r="B21" s="934"/>
      <c r="C21" s="46" t="s">
        <v>211</v>
      </c>
      <c r="D21" s="46" t="s">
        <v>27</v>
      </c>
      <c r="E21" s="46" t="s">
        <v>228</v>
      </c>
      <c r="F21" s="25" t="s">
        <v>233</v>
      </c>
      <c r="G21" s="25" t="s">
        <v>132</v>
      </c>
      <c r="H21" s="25"/>
      <c r="I21" s="25" t="s">
        <v>29</v>
      </c>
      <c r="J21" s="25"/>
      <c r="K21" s="25" t="s">
        <v>30</v>
      </c>
      <c r="L21" s="25" t="s">
        <v>30</v>
      </c>
      <c r="M21" s="25"/>
      <c r="N21" s="26" t="s">
        <v>22</v>
      </c>
      <c r="O21" s="162" t="s">
        <v>30</v>
      </c>
      <c r="P21" s="673"/>
      <c r="Q21" s="678" t="s">
        <v>17</v>
      </c>
      <c r="R21" s="678" t="str">
        <f>Q21</f>
        <v>ED&lt;=CYFE</v>
      </c>
      <c r="S21" s="678" t="s">
        <v>18</v>
      </c>
      <c r="T21" s="678" t="str">
        <f>S21</f>
        <v>ED&gt;CYFE</v>
      </c>
      <c r="U21" s="678" t="s">
        <v>31</v>
      </c>
      <c r="V21" s="674"/>
      <c r="W21" s="674"/>
      <c r="X21" s="674"/>
      <c r="Y21" s="674"/>
      <c r="Z21" s="674"/>
      <c r="AA21" s="674"/>
    </row>
    <row r="22" spans="1:27" x14ac:dyDescent="0.25">
      <c r="A22" s="263" t="s">
        <v>225</v>
      </c>
      <c r="B22" s="275" t="s">
        <v>227</v>
      </c>
      <c r="C22" s="27" t="s">
        <v>132</v>
      </c>
      <c r="D22" s="27" t="s">
        <v>29</v>
      </c>
      <c r="E22" s="27" t="s">
        <v>229</v>
      </c>
      <c r="F22" s="46" t="s">
        <v>29</v>
      </c>
      <c r="G22" s="27" t="s">
        <v>79</v>
      </c>
      <c r="H22" s="27"/>
      <c r="I22" s="27" t="s">
        <v>34</v>
      </c>
      <c r="J22" s="27"/>
      <c r="K22" s="27" t="s">
        <v>35</v>
      </c>
      <c r="L22" s="27" t="s">
        <v>36</v>
      </c>
      <c r="M22" s="27"/>
      <c r="N22" s="28" t="s">
        <v>37</v>
      </c>
      <c r="O22" s="235" t="s">
        <v>38</v>
      </c>
      <c r="P22" s="678"/>
      <c r="Q22" s="678" t="s">
        <v>39</v>
      </c>
      <c r="R22" s="678" t="s">
        <v>40</v>
      </c>
      <c r="S22" s="678" t="str">
        <f>Q22</f>
        <v>Sal&lt;Max</v>
      </c>
      <c r="T22" s="678" t="str">
        <f>R22</f>
        <v>Sal&gt;=Max</v>
      </c>
      <c r="U22" s="678">
        <f>IF(MOD(YEAR(ENDDATE),4)=0,365,365)</f>
        <v>365</v>
      </c>
      <c r="V22" s="674"/>
      <c r="W22" s="674"/>
      <c r="X22" s="674"/>
      <c r="Y22" s="674"/>
      <c r="Z22" s="674"/>
      <c r="AA22" s="674"/>
    </row>
    <row r="23" spans="1:27" x14ac:dyDescent="0.25">
      <c r="A23" s="547"/>
      <c r="B23" s="592"/>
      <c r="C23" s="595"/>
      <c r="D23" s="596"/>
      <c r="E23" s="597" t="str">
        <f t="shared" ref="E23:E62" si="0">IF(SUM(G23*12)=0,"",SUM(G23*12))</f>
        <v/>
      </c>
      <c r="F23" s="176" t="str">
        <f>IF(IF('Salary Detail'!$F$18="X",IF((D23*$K$16)&gt;'Salary Detail'!$L$18,(SUM(Q23:T23)),(D23*$K$16)),(D23*$K$16))=0,"",IF('Salary Detail'!$F$18="X",IF((D23*$K$16)&gt;'Salary Detail'!$L$18,(SUM(Q23:T23)),(D23*$K$16)),(D23*$K$16)))</f>
        <v/>
      </c>
      <c r="G23" s="548"/>
      <c r="H23" s="177"/>
      <c r="I23" s="176" t="str">
        <f t="shared" ref="I23:I62" si="1">IFERROR(IF(ROUND(F23*G23,0)=0,"",ROUND(F23*G23,0)),"")</f>
        <v/>
      </c>
      <c r="J23" s="176"/>
      <c r="K23" s="598" t="str">
        <f>IF(A23="","",35%)</f>
        <v/>
      </c>
      <c r="L23" s="176" t="str">
        <f t="shared" ref="L23:L62" si="2">IFERROR(I23*K23,"")</f>
        <v/>
      </c>
      <c r="M23" s="176"/>
      <c r="N23" s="178" t="str">
        <f t="shared" ref="N23:N62" si="3">IFERROR(I23+L23,"")</f>
        <v/>
      </c>
      <c r="O23" s="549"/>
      <c r="P23" s="673"/>
      <c r="Q23" s="673">
        <f>ROUND(IF(AND(ENDDATE&lt;=CURRENTFYE,D23*FACTOR*yr1percent&lt;MAXSAL),D23*FACTOR*yr1percent,0),0)</f>
        <v>0</v>
      </c>
      <c r="R23" s="673">
        <f>ROUND(IF(AND(ENDDATE&lt;=CURRENTFYE,D23*FACTOR&gt;=MAXSAL),MAXSAL*yr1percent,0),0)</f>
        <v>0</v>
      </c>
      <c r="S23" s="673">
        <f t="shared" ref="S23:S62" si="4">ROUND(IF(AND(ENDDATE&gt;CURRENTFYE,D23*FACTOR&lt;MAXSAL),D23*$K$16,0),0)</f>
        <v>0</v>
      </c>
      <c r="T23" s="673">
        <f>ROUND(IF(AND(ENDDATE&gt;CURRENTFYE,D23*FACTOR&gt;=MAXSAL),MAXSAL*yr1percent,0),0)</f>
        <v>0</v>
      </c>
      <c r="U23" s="675">
        <f>365/U22</f>
        <v>1</v>
      </c>
      <c r="V23" s="674"/>
      <c r="W23" s="674"/>
      <c r="X23" s="674"/>
      <c r="Y23" s="674"/>
      <c r="Z23" s="674"/>
      <c r="AA23" s="674"/>
    </row>
    <row r="24" spans="1:27" x14ac:dyDescent="0.25">
      <c r="A24" s="205"/>
      <c r="B24" s="593"/>
      <c r="C24" s="599"/>
      <c r="D24" s="600"/>
      <c r="E24" s="601" t="str">
        <f t="shared" si="0"/>
        <v/>
      </c>
      <c r="F24" s="179" t="str">
        <f>IF(IF('Salary Detail'!$F$18="X",IF((D24*$K$16)&gt;'Salary Detail'!$L$18,(SUM(Q24:T24)),(D24*$K$16)),(D24*$K$16))=0,"",IF('Salary Detail'!$F$18="X",IF((D24*$K$16)&gt;'Salary Detail'!$L$18,(SUM(Q24:T24)),(D24*$K$16)),(D24*$K$16)))</f>
        <v/>
      </c>
      <c r="G24" s="180"/>
      <c r="H24" s="181"/>
      <c r="I24" s="179" t="str">
        <f t="shared" si="1"/>
        <v/>
      </c>
      <c r="J24" s="179"/>
      <c r="K24" s="598" t="str">
        <f>IF(A24="","",35%)</f>
        <v/>
      </c>
      <c r="L24" s="179" t="str">
        <f t="shared" si="2"/>
        <v/>
      </c>
      <c r="M24" s="179"/>
      <c r="N24" s="182" t="str">
        <f t="shared" si="3"/>
        <v/>
      </c>
      <c r="O24" s="236"/>
      <c r="P24" s="673"/>
      <c r="Q24" s="673">
        <f t="shared" ref="Q24:Q62" si="5">ROUND(IF(AND(ENDDATE&lt;=CURRENTFYE,D24*FACTOR*yr1percent&lt;MAXSAL),D24*FACTOR*yr1percent,0),0)</f>
        <v>0</v>
      </c>
      <c r="R24" s="673">
        <f t="shared" ref="R24:R62" si="6">ROUND(IF(AND(ENDDATE&lt;=CURRENTFYE,D24*FACTOR&gt;=MAXSAL),MAXSAL*yr1percent,0),0)</f>
        <v>0</v>
      </c>
      <c r="S24" s="673">
        <f t="shared" si="4"/>
        <v>0</v>
      </c>
      <c r="T24" s="673">
        <f t="shared" ref="T24:T62" si="7">ROUND(IF(AND(ENDDATE&gt;CURRENTFYE,D24*FACTOR&gt;=MAXSAL),MAXSAL*yr1percent,0),0)</f>
        <v>0</v>
      </c>
      <c r="U24" s="678"/>
      <c r="V24" s="674"/>
      <c r="W24" s="674"/>
      <c r="X24" s="674"/>
      <c r="Y24" s="674"/>
      <c r="Z24" s="674"/>
      <c r="AA24" s="674"/>
    </row>
    <row r="25" spans="1:27" x14ac:dyDescent="0.25">
      <c r="A25" s="205"/>
      <c r="B25" s="593"/>
      <c r="C25" s="599"/>
      <c r="D25" s="600"/>
      <c r="E25" s="601" t="str">
        <f t="shared" si="0"/>
        <v/>
      </c>
      <c r="F25" s="179" t="str">
        <f>IF(IF('Salary Detail'!$F$18="X",IF((D25*$K$16)&gt;'Salary Detail'!$L$18,(SUM(Q25:T25)),(D25*$K$16)),(D25*$K$16))=0,"",IF('Salary Detail'!$F$18="X",IF((D25*$K$16)&gt;'Salary Detail'!$L$18,(SUM(Q25:T25)),(D25*$K$16)),(D25*$K$16)))</f>
        <v/>
      </c>
      <c r="G25" s="180"/>
      <c r="H25" s="181"/>
      <c r="I25" s="179" t="str">
        <f t="shared" si="1"/>
        <v/>
      </c>
      <c r="J25" s="179"/>
      <c r="K25" s="598" t="str">
        <f t="shared" ref="K25:K62" si="8">IF(A25="","",35%)</f>
        <v/>
      </c>
      <c r="L25" s="179" t="str">
        <f t="shared" si="2"/>
        <v/>
      </c>
      <c r="M25" s="179"/>
      <c r="N25" s="182" t="str">
        <f t="shared" si="3"/>
        <v/>
      </c>
      <c r="O25" s="236"/>
      <c r="P25" s="673"/>
      <c r="Q25" s="673">
        <f t="shared" si="5"/>
        <v>0</v>
      </c>
      <c r="R25" s="673">
        <f t="shared" si="6"/>
        <v>0</v>
      </c>
      <c r="S25" s="673">
        <f t="shared" si="4"/>
        <v>0</v>
      </c>
      <c r="T25" s="673">
        <f t="shared" si="7"/>
        <v>0</v>
      </c>
      <c r="U25" s="678"/>
      <c r="V25" s="674"/>
      <c r="W25" s="674"/>
      <c r="X25" s="674"/>
      <c r="Y25" s="674"/>
      <c r="Z25" s="674"/>
      <c r="AA25" s="674"/>
    </row>
    <row r="26" spans="1:27" x14ac:dyDescent="0.25">
      <c r="A26" s="205"/>
      <c r="B26" s="593"/>
      <c r="C26" s="599"/>
      <c r="D26" s="600"/>
      <c r="E26" s="601" t="str">
        <f t="shared" si="0"/>
        <v/>
      </c>
      <c r="F26" s="179" t="str">
        <f>IF(IF('Salary Detail'!$F$18="X",IF((D26*$K$16)&gt;'Salary Detail'!$L$18,(SUM(Q26:T26)),(D26*$K$16)),(D26*$K$16))=0,"",IF('Salary Detail'!$F$18="X",IF((D26*$K$16)&gt;'Salary Detail'!$L$18,(SUM(Q26:T26)),(D26*$K$16)),(D26*$K$16)))</f>
        <v/>
      </c>
      <c r="G26" s="180"/>
      <c r="H26" s="181"/>
      <c r="I26" s="179" t="str">
        <f t="shared" si="1"/>
        <v/>
      </c>
      <c r="J26" s="179"/>
      <c r="K26" s="598" t="str">
        <f t="shared" si="8"/>
        <v/>
      </c>
      <c r="L26" s="179" t="str">
        <f t="shared" si="2"/>
        <v/>
      </c>
      <c r="M26" s="179"/>
      <c r="N26" s="182" t="str">
        <f t="shared" si="3"/>
        <v/>
      </c>
      <c r="O26" s="236"/>
      <c r="P26" s="673"/>
      <c r="Q26" s="673">
        <f t="shared" si="5"/>
        <v>0</v>
      </c>
      <c r="R26" s="673">
        <f t="shared" si="6"/>
        <v>0</v>
      </c>
      <c r="S26" s="673">
        <f t="shared" si="4"/>
        <v>0</v>
      </c>
      <c r="T26" s="673">
        <f t="shared" si="7"/>
        <v>0</v>
      </c>
      <c r="U26" s="678"/>
      <c r="V26" s="674"/>
      <c r="W26" s="674"/>
      <c r="X26" s="674"/>
      <c r="Y26" s="674"/>
      <c r="Z26" s="674"/>
      <c r="AA26" s="674"/>
    </row>
    <row r="27" spans="1:27" x14ac:dyDescent="0.25">
      <c r="A27" s="205"/>
      <c r="B27" s="593"/>
      <c r="C27" s="599"/>
      <c r="D27" s="600"/>
      <c r="E27" s="601" t="str">
        <f t="shared" si="0"/>
        <v/>
      </c>
      <c r="F27" s="179" t="str">
        <f>IF(IF('Salary Detail'!$F$18="X",IF((D27*$K$16)&gt;'Salary Detail'!$L$18,(SUM(Q27:T27)),(D27*$K$16)),(D27*$K$16))=0,"",IF('Salary Detail'!$F$18="X",IF((D27*$K$16)&gt;'Salary Detail'!$L$18,(SUM(Q27:T27)),(D27*$K$16)),(D27*$K$16)))</f>
        <v/>
      </c>
      <c r="G27" s="180"/>
      <c r="H27" s="181"/>
      <c r="I27" s="179" t="str">
        <f t="shared" si="1"/>
        <v/>
      </c>
      <c r="J27" s="179"/>
      <c r="K27" s="598" t="str">
        <f t="shared" si="8"/>
        <v/>
      </c>
      <c r="L27" s="179" t="str">
        <f t="shared" si="2"/>
        <v/>
      </c>
      <c r="M27" s="179"/>
      <c r="N27" s="182" t="str">
        <f t="shared" si="3"/>
        <v/>
      </c>
      <c r="O27" s="236"/>
      <c r="P27" s="673"/>
      <c r="Q27" s="673">
        <f t="shared" si="5"/>
        <v>0</v>
      </c>
      <c r="R27" s="673">
        <f t="shared" si="6"/>
        <v>0</v>
      </c>
      <c r="S27" s="673">
        <f t="shared" si="4"/>
        <v>0</v>
      </c>
      <c r="T27" s="673">
        <f t="shared" si="7"/>
        <v>0</v>
      </c>
      <c r="U27" s="678"/>
      <c r="V27" s="674"/>
      <c r="W27" s="674"/>
      <c r="X27" s="674"/>
      <c r="Y27" s="674"/>
      <c r="Z27" s="674"/>
      <c r="AA27" s="674"/>
    </row>
    <row r="28" spans="1:27" x14ac:dyDescent="0.25">
      <c r="A28" s="205"/>
      <c r="B28" s="593"/>
      <c r="C28" s="599"/>
      <c r="D28" s="600"/>
      <c r="E28" s="601" t="str">
        <f t="shared" si="0"/>
        <v/>
      </c>
      <c r="F28" s="179" t="str">
        <f>IF(IF('Salary Detail'!$F$18="X",IF((D28*$K$16)&gt;'Salary Detail'!$L$18,(SUM(Q28:T28)),(D28*$K$16)),(D28*$K$16))=0,"",IF('Salary Detail'!$F$18="X",IF((D28*$K$16)&gt;'Salary Detail'!$L$18,(SUM(Q28:T28)),(D28*$K$16)),(D28*$K$16)))</f>
        <v/>
      </c>
      <c r="G28" s="180"/>
      <c r="H28" s="181"/>
      <c r="I28" s="179" t="str">
        <f t="shared" si="1"/>
        <v/>
      </c>
      <c r="J28" s="179"/>
      <c r="K28" s="598" t="str">
        <f t="shared" si="8"/>
        <v/>
      </c>
      <c r="L28" s="179" t="str">
        <f t="shared" si="2"/>
        <v/>
      </c>
      <c r="M28" s="179"/>
      <c r="N28" s="182" t="str">
        <f t="shared" si="3"/>
        <v/>
      </c>
      <c r="O28" s="236"/>
      <c r="P28" s="673"/>
      <c r="Q28" s="673">
        <f t="shared" si="5"/>
        <v>0</v>
      </c>
      <c r="R28" s="673">
        <f t="shared" si="6"/>
        <v>0</v>
      </c>
      <c r="S28" s="673">
        <f t="shared" si="4"/>
        <v>0</v>
      </c>
      <c r="T28" s="673">
        <f t="shared" si="7"/>
        <v>0</v>
      </c>
      <c r="U28" s="678"/>
      <c r="V28" s="674"/>
      <c r="W28" s="674"/>
      <c r="X28" s="674"/>
      <c r="Y28" s="674"/>
      <c r="Z28" s="674"/>
      <c r="AA28" s="674"/>
    </row>
    <row r="29" spans="1:27" x14ac:dyDescent="0.25">
      <c r="A29" s="205"/>
      <c r="B29" s="593"/>
      <c r="C29" s="599"/>
      <c r="D29" s="600"/>
      <c r="E29" s="601" t="str">
        <f t="shared" si="0"/>
        <v/>
      </c>
      <c r="F29" s="179" t="str">
        <f>IF(IF('Salary Detail'!$F$18="X",IF((D29*$K$16)&gt;'Salary Detail'!$L$18,(SUM(Q29:T29)),(D29*$K$16)),(D29*$K$16))=0,"",IF('Salary Detail'!$F$18="X",IF((D29*$K$16)&gt;'Salary Detail'!$L$18,(SUM(Q29:T29)),(D29*$K$16)),(D29*$K$16)))</f>
        <v/>
      </c>
      <c r="G29" s="180"/>
      <c r="H29" s="181"/>
      <c r="I29" s="179" t="str">
        <f t="shared" si="1"/>
        <v/>
      </c>
      <c r="J29" s="179"/>
      <c r="K29" s="598" t="str">
        <f t="shared" si="8"/>
        <v/>
      </c>
      <c r="L29" s="179" t="str">
        <f t="shared" si="2"/>
        <v/>
      </c>
      <c r="M29" s="179"/>
      <c r="N29" s="182" t="str">
        <f t="shared" si="3"/>
        <v/>
      </c>
      <c r="O29" s="236"/>
      <c r="P29" s="673"/>
      <c r="Q29" s="673">
        <f t="shared" si="5"/>
        <v>0</v>
      </c>
      <c r="R29" s="673">
        <f t="shared" si="6"/>
        <v>0</v>
      </c>
      <c r="S29" s="673">
        <f t="shared" si="4"/>
        <v>0</v>
      </c>
      <c r="T29" s="673">
        <f t="shared" si="7"/>
        <v>0</v>
      </c>
      <c r="U29" s="678"/>
      <c r="V29" s="674"/>
      <c r="W29" s="674"/>
      <c r="X29" s="674"/>
      <c r="Y29" s="674"/>
      <c r="Z29" s="674"/>
      <c r="AA29" s="674"/>
    </row>
    <row r="30" spans="1:27" x14ac:dyDescent="0.25">
      <c r="A30" s="205"/>
      <c r="B30" s="593"/>
      <c r="C30" s="599"/>
      <c r="D30" s="600"/>
      <c r="E30" s="601" t="str">
        <f t="shared" si="0"/>
        <v/>
      </c>
      <c r="F30" s="179" t="str">
        <f>IF(IF('Salary Detail'!$F$18="X",IF((D30*$K$16)&gt;'Salary Detail'!$L$18,(SUM(Q30:T30)),(D30*$K$16)),(D30*$K$16))=0,"",IF('Salary Detail'!$F$18="X",IF((D30*$K$16)&gt;'Salary Detail'!$L$18,(SUM(Q30:T30)),(D30*$K$16)),(D30*$K$16)))</f>
        <v/>
      </c>
      <c r="G30" s="180"/>
      <c r="H30" s="181"/>
      <c r="I30" s="179" t="str">
        <f t="shared" si="1"/>
        <v/>
      </c>
      <c r="J30" s="179"/>
      <c r="K30" s="598" t="str">
        <f t="shared" si="8"/>
        <v/>
      </c>
      <c r="L30" s="179" t="str">
        <f t="shared" si="2"/>
        <v/>
      </c>
      <c r="M30" s="179"/>
      <c r="N30" s="182" t="str">
        <f t="shared" si="3"/>
        <v/>
      </c>
      <c r="O30" s="236"/>
      <c r="P30" s="673"/>
      <c r="Q30" s="673">
        <f t="shared" si="5"/>
        <v>0</v>
      </c>
      <c r="R30" s="673">
        <f t="shared" si="6"/>
        <v>0</v>
      </c>
      <c r="S30" s="673">
        <f t="shared" si="4"/>
        <v>0</v>
      </c>
      <c r="T30" s="673">
        <f t="shared" si="7"/>
        <v>0</v>
      </c>
      <c r="U30" s="678"/>
      <c r="V30" s="674"/>
      <c r="W30" s="674"/>
      <c r="X30" s="674"/>
      <c r="Y30" s="674"/>
      <c r="Z30" s="674"/>
      <c r="AA30" s="674"/>
    </row>
    <row r="31" spans="1:27" x14ac:dyDescent="0.25">
      <c r="A31" s="205"/>
      <c r="B31" s="593"/>
      <c r="C31" s="599"/>
      <c r="D31" s="600"/>
      <c r="E31" s="601" t="str">
        <f t="shared" si="0"/>
        <v/>
      </c>
      <c r="F31" s="179" t="str">
        <f>IF(IF('Salary Detail'!$F$18="X",IF((D31*$K$16)&gt;'Salary Detail'!$L$18,(SUM(Q31:T31)),(D31*$K$16)),(D31*$K$16))=0,"",IF('Salary Detail'!$F$18="X",IF((D31*$K$16)&gt;'Salary Detail'!$L$18,(SUM(Q31:T31)),(D31*$K$16)),(D31*$K$16)))</f>
        <v/>
      </c>
      <c r="G31" s="180"/>
      <c r="H31" s="181"/>
      <c r="I31" s="179" t="str">
        <f t="shared" si="1"/>
        <v/>
      </c>
      <c r="J31" s="179"/>
      <c r="K31" s="598" t="str">
        <f t="shared" si="8"/>
        <v/>
      </c>
      <c r="L31" s="179" t="str">
        <f t="shared" si="2"/>
        <v/>
      </c>
      <c r="M31" s="179"/>
      <c r="N31" s="182" t="str">
        <f t="shared" si="3"/>
        <v/>
      </c>
      <c r="O31" s="236"/>
      <c r="P31" s="673"/>
      <c r="Q31" s="673">
        <f t="shared" si="5"/>
        <v>0</v>
      </c>
      <c r="R31" s="673">
        <f t="shared" si="6"/>
        <v>0</v>
      </c>
      <c r="S31" s="673">
        <f t="shared" si="4"/>
        <v>0</v>
      </c>
      <c r="T31" s="673">
        <f t="shared" si="7"/>
        <v>0</v>
      </c>
      <c r="U31" s="678"/>
      <c r="V31" s="674"/>
      <c r="W31" s="674"/>
      <c r="X31" s="674"/>
      <c r="Y31" s="674"/>
      <c r="Z31" s="674"/>
      <c r="AA31" s="674"/>
    </row>
    <row r="32" spans="1:27" x14ac:dyDescent="0.25">
      <c r="A32" s="205"/>
      <c r="B32" s="593"/>
      <c r="C32" s="599"/>
      <c r="D32" s="600"/>
      <c r="E32" s="601" t="str">
        <f t="shared" si="0"/>
        <v/>
      </c>
      <c r="F32" s="179" t="str">
        <f>IF(IF('Salary Detail'!$F$18="X",IF((D32*$K$16)&gt;'Salary Detail'!$L$18,(SUM(Q32:T32)),(D32*$K$16)),(D32*$K$16))=0,"",IF('Salary Detail'!$F$18="X",IF((D32*$K$16)&gt;'Salary Detail'!$L$18,(SUM(Q32:T32)),(D32*$K$16)),(D32*$K$16)))</f>
        <v/>
      </c>
      <c r="G32" s="180"/>
      <c r="H32" s="181"/>
      <c r="I32" s="179" t="str">
        <f t="shared" si="1"/>
        <v/>
      </c>
      <c r="J32" s="179"/>
      <c r="K32" s="598" t="str">
        <f t="shared" si="8"/>
        <v/>
      </c>
      <c r="L32" s="179" t="str">
        <f t="shared" si="2"/>
        <v/>
      </c>
      <c r="M32" s="179"/>
      <c r="N32" s="182" t="str">
        <f t="shared" si="3"/>
        <v/>
      </c>
      <c r="O32" s="236"/>
      <c r="P32" s="673"/>
      <c r="Q32" s="673">
        <f t="shared" si="5"/>
        <v>0</v>
      </c>
      <c r="R32" s="673">
        <f t="shared" si="6"/>
        <v>0</v>
      </c>
      <c r="S32" s="673">
        <f t="shared" si="4"/>
        <v>0</v>
      </c>
      <c r="T32" s="673">
        <f t="shared" si="7"/>
        <v>0</v>
      </c>
      <c r="U32" s="678"/>
      <c r="V32" s="674"/>
      <c r="W32" s="674"/>
      <c r="X32" s="674"/>
      <c r="Y32" s="674"/>
      <c r="Z32" s="674"/>
      <c r="AA32" s="674"/>
    </row>
    <row r="33" spans="1:27" x14ac:dyDescent="0.25">
      <c r="A33" s="205"/>
      <c r="B33" s="593"/>
      <c r="C33" s="599"/>
      <c r="D33" s="600"/>
      <c r="E33" s="601" t="str">
        <f t="shared" si="0"/>
        <v/>
      </c>
      <c r="F33" s="179" t="str">
        <f>IF(IF('Salary Detail'!$F$18="X",IF((D33*$K$16)&gt;'Salary Detail'!$L$18,(SUM(Q33:T33)),(D33*$K$16)),(D33*$K$16))=0,"",IF('Salary Detail'!$F$18="X",IF((D33*$K$16)&gt;'Salary Detail'!$L$18,(SUM(Q33:T33)),(D33*$K$16)),(D33*$K$16)))</f>
        <v/>
      </c>
      <c r="G33" s="180"/>
      <c r="H33" s="181"/>
      <c r="I33" s="179" t="str">
        <f t="shared" si="1"/>
        <v/>
      </c>
      <c r="J33" s="179"/>
      <c r="K33" s="598" t="str">
        <f t="shared" si="8"/>
        <v/>
      </c>
      <c r="L33" s="179" t="str">
        <f t="shared" si="2"/>
        <v/>
      </c>
      <c r="M33" s="179"/>
      <c r="N33" s="182" t="str">
        <f t="shared" si="3"/>
        <v/>
      </c>
      <c r="O33" s="236"/>
      <c r="P33" s="673"/>
      <c r="Q33" s="673">
        <f t="shared" si="5"/>
        <v>0</v>
      </c>
      <c r="R33" s="673">
        <f t="shared" si="6"/>
        <v>0</v>
      </c>
      <c r="S33" s="673">
        <f t="shared" si="4"/>
        <v>0</v>
      </c>
      <c r="T33" s="673">
        <f t="shared" si="7"/>
        <v>0</v>
      </c>
      <c r="U33" s="674"/>
      <c r="V33" s="674"/>
      <c r="W33" s="674"/>
      <c r="X33" s="674"/>
      <c r="Y33" s="674"/>
      <c r="Z33" s="674"/>
      <c r="AA33" s="674"/>
    </row>
    <row r="34" spans="1:27" x14ac:dyDescent="0.25">
      <c r="A34" s="205"/>
      <c r="B34" s="593"/>
      <c r="C34" s="599"/>
      <c r="D34" s="600"/>
      <c r="E34" s="601" t="str">
        <f t="shared" si="0"/>
        <v/>
      </c>
      <c r="F34" s="179" t="str">
        <f>IF(IF('Salary Detail'!$F$18="X",IF((D34*$K$16)&gt;'Salary Detail'!$L$18,(SUM(Q34:T34)),(D34*$K$16)),(D34*$K$16))=0,"",IF('Salary Detail'!$F$18="X",IF((D34*$K$16)&gt;'Salary Detail'!$L$18,(SUM(Q34:T34)),(D34*$K$16)),(D34*$K$16)))</f>
        <v/>
      </c>
      <c r="G34" s="180"/>
      <c r="H34" s="181"/>
      <c r="I34" s="179" t="str">
        <f t="shared" si="1"/>
        <v/>
      </c>
      <c r="J34" s="179"/>
      <c r="K34" s="598" t="str">
        <f t="shared" si="8"/>
        <v/>
      </c>
      <c r="L34" s="179" t="str">
        <f t="shared" si="2"/>
        <v/>
      </c>
      <c r="M34" s="179"/>
      <c r="N34" s="182" t="str">
        <f t="shared" si="3"/>
        <v/>
      </c>
      <c r="O34" s="236"/>
      <c r="P34" s="673"/>
      <c r="Q34" s="673">
        <f t="shared" si="5"/>
        <v>0</v>
      </c>
      <c r="R34" s="673">
        <f t="shared" si="6"/>
        <v>0</v>
      </c>
      <c r="S34" s="673">
        <f t="shared" si="4"/>
        <v>0</v>
      </c>
      <c r="T34" s="673">
        <f t="shared" si="7"/>
        <v>0</v>
      </c>
      <c r="U34" s="674"/>
      <c r="V34" s="674"/>
      <c r="W34" s="674"/>
      <c r="X34" s="674"/>
      <c r="Y34" s="674"/>
      <c r="Z34" s="674"/>
      <c r="AA34" s="674"/>
    </row>
    <row r="35" spans="1:27" x14ac:dyDescent="0.25">
      <c r="A35" s="205"/>
      <c r="B35" s="593"/>
      <c r="C35" s="599"/>
      <c r="D35" s="600"/>
      <c r="E35" s="601" t="str">
        <f t="shared" si="0"/>
        <v/>
      </c>
      <c r="F35" s="179" t="str">
        <f>IF(IF('Salary Detail'!$F$18="X",IF((D35*$K$16)&gt;'Salary Detail'!$L$18,(SUM(Q35:T35)),(D35*$K$16)),(D35*$K$16))=0,"",IF('Salary Detail'!$F$18="X",IF((D35*$K$16)&gt;'Salary Detail'!$L$18,(SUM(Q35:T35)),(D35*$K$16)),(D35*$K$16)))</f>
        <v/>
      </c>
      <c r="G35" s="180"/>
      <c r="H35" s="181"/>
      <c r="I35" s="179" t="str">
        <f t="shared" si="1"/>
        <v/>
      </c>
      <c r="J35" s="179"/>
      <c r="K35" s="598" t="str">
        <f t="shared" si="8"/>
        <v/>
      </c>
      <c r="L35" s="179" t="str">
        <f t="shared" si="2"/>
        <v/>
      </c>
      <c r="M35" s="179"/>
      <c r="N35" s="182" t="str">
        <f t="shared" si="3"/>
        <v/>
      </c>
      <c r="O35" s="236"/>
      <c r="P35" s="673"/>
      <c r="Q35" s="673">
        <f t="shared" si="5"/>
        <v>0</v>
      </c>
      <c r="R35" s="673">
        <f t="shared" si="6"/>
        <v>0</v>
      </c>
      <c r="S35" s="673">
        <f t="shared" si="4"/>
        <v>0</v>
      </c>
      <c r="T35" s="673">
        <f t="shared" si="7"/>
        <v>0</v>
      </c>
      <c r="U35" s="674"/>
      <c r="V35" s="674"/>
      <c r="W35" s="674"/>
      <c r="X35" s="674"/>
      <c r="Y35" s="674"/>
      <c r="Z35" s="674"/>
      <c r="AA35" s="674"/>
    </row>
    <row r="36" spans="1:27" x14ac:dyDescent="0.25">
      <c r="A36" s="205"/>
      <c r="B36" s="593"/>
      <c r="C36" s="599"/>
      <c r="D36" s="600"/>
      <c r="E36" s="601" t="str">
        <f t="shared" si="0"/>
        <v/>
      </c>
      <c r="F36" s="179" t="str">
        <f>IF(IF('Salary Detail'!$F$18="X",IF((D36*$K$16)&gt;'Salary Detail'!$L$18,(SUM(Q36:T36)),(D36*$K$16)),(D36*$K$16))=0,"",IF('Salary Detail'!$F$18="X",IF((D36*$K$16)&gt;'Salary Detail'!$L$18,(SUM(Q36:T36)),(D36*$K$16)),(D36*$K$16)))</f>
        <v/>
      </c>
      <c r="G36" s="180"/>
      <c r="H36" s="181"/>
      <c r="I36" s="179" t="str">
        <f t="shared" si="1"/>
        <v/>
      </c>
      <c r="J36" s="179"/>
      <c r="K36" s="598" t="str">
        <f t="shared" si="8"/>
        <v/>
      </c>
      <c r="L36" s="179" t="str">
        <f t="shared" si="2"/>
        <v/>
      </c>
      <c r="M36" s="179"/>
      <c r="N36" s="182" t="str">
        <f t="shared" si="3"/>
        <v/>
      </c>
      <c r="O36" s="236"/>
      <c r="P36" s="673"/>
      <c r="Q36" s="673">
        <f t="shared" si="5"/>
        <v>0</v>
      </c>
      <c r="R36" s="673">
        <f t="shared" si="6"/>
        <v>0</v>
      </c>
      <c r="S36" s="673">
        <f t="shared" si="4"/>
        <v>0</v>
      </c>
      <c r="T36" s="673">
        <f t="shared" si="7"/>
        <v>0</v>
      </c>
      <c r="U36" s="674"/>
      <c r="V36" s="674"/>
      <c r="W36" s="674"/>
      <c r="X36" s="674"/>
      <c r="Y36" s="674"/>
      <c r="Z36" s="674"/>
      <c r="AA36" s="674"/>
    </row>
    <row r="37" spans="1:27" x14ac:dyDescent="0.25">
      <c r="A37" s="205"/>
      <c r="B37" s="593"/>
      <c r="C37" s="599"/>
      <c r="D37" s="600"/>
      <c r="E37" s="601" t="str">
        <f t="shared" si="0"/>
        <v/>
      </c>
      <c r="F37" s="179" t="str">
        <f>IF(IF('Salary Detail'!$F$18="X",IF((D37*$K$16)&gt;'Salary Detail'!$L$18,(SUM(Q37:T37)),(D37*$K$16)),(D37*$K$16))=0,"",IF('Salary Detail'!$F$18="X",IF((D37*$K$16)&gt;'Salary Detail'!$L$18,(SUM(Q37:T37)),(D37*$K$16)),(D37*$K$16)))</f>
        <v/>
      </c>
      <c r="G37" s="180"/>
      <c r="H37" s="181"/>
      <c r="I37" s="179" t="str">
        <f t="shared" si="1"/>
        <v/>
      </c>
      <c r="J37" s="179"/>
      <c r="K37" s="598" t="str">
        <f t="shared" si="8"/>
        <v/>
      </c>
      <c r="L37" s="179" t="str">
        <f t="shared" si="2"/>
        <v/>
      </c>
      <c r="M37" s="179"/>
      <c r="N37" s="182" t="str">
        <f t="shared" si="3"/>
        <v/>
      </c>
      <c r="O37" s="236"/>
      <c r="P37" s="673"/>
      <c r="Q37" s="673">
        <f t="shared" si="5"/>
        <v>0</v>
      </c>
      <c r="R37" s="673">
        <f t="shared" si="6"/>
        <v>0</v>
      </c>
      <c r="S37" s="673">
        <f t="shared" si="4"/>
        <v>0</v>
      </c>
      <c r="T37" s="673">
        <f t="shared" si="7"/>
        <v>0</v>
      </c>
      <c r="U37" s="674"/>
      <c r="V37" s="674"/>
      <c r="W37" s="674"/>
      <c r="X37" s="674"/>
      <c r="Y37" s="674"/>
      <c r="Z37" s="674"/>
      <c r="AA37" s="674"/>
    </row>
    <row r="38" spans="1:27" x14ac:dyDescent="0.25">
      <c r="A38" s="205"/>
      <c r="B38" s="593"/>
      <c r="C38" s="599"/>
      <c r="D38" s="600"/>
      <c r="E38" s="601" t="str">
        <f t="shared" si="0"/>
        <v/>
      </c>
      <c r="F38" s="179" t="str">
        <f>IF(IF('Salary Detail'!$F$18="X",IF((D38*$K$16)&gt;'Salary Detail'!$L$18,(SUM(Q38:T38)),(D38*$K$16)),(D38*$K$16))=0,"",IF('Salary Detail'!$F$18="X",IF((D38*$K$16)&gt;'Salary Detail'!$L$18,(SUM(Q38:T38)),(D38*$K$16)),(D38*$K$16)))</f>
        <v/>
      </c>
      <c r="G38" s="180"/>
      <c r="H38" s="181"/>
      <c r="I38" s="179" t="str">
        <f t="shared" si="1"/>
        <v/>
      </c>
      <c r="J38" s="179"/>
      <c r="K38" s="598" t="str">
        <f t="shared" si="8"/>
        <v/>
      </c>
      <c r="L38" s="179" t="str">
        <f t="shared" si="2"/>
        <v/>
      </c>
      <c r="M38" s="179"/>
      <c r="N38" s="182" t="str">
        <f t="shared" si="3"/>
        <v/>
      </c>
      <c r="O38" s="236"/>
      <c r="P38" s="673"/>
      <c r="Q38" s="673">
        <f t="shared" si="5"/>
        <v>0</v>
      </c>
      <c r="R38" s="673">
        <f t="shared" si="6"/>
        <v>0</v>
      </c>
      <c r="S38" s="673">
        <f t="shared" si="4"/>
        <v>0</v>
      </c>
      <c r="T38" s="673">
        <f t="shared" si="7"/>
        <v>0</v>
      </c>
      <c r="U38" s="674"/>
      <c r="V38" s="674"/>
      <c r="W38" s="674"/>
      <c r="X38" s="674"/>
      <c r="Y38" s="674"/>
      <c r="Z38" s="674"/>
      <c r="AA38" s="674"/>
    </row>
    <row r="39" spans="1:27" x14ac:dyDescent="0.25">
      <c r="A39" s="205"/>
      <c r="B39" s="593"/>
      <c r="C39" s="599"/>
      <c r="D39" s="600"/>
      <c r="E39" s="601" t="str">
        <f t="shared" si="0"/>
        <v/>
      </c>
      <c r="F39" s="179" t="str">
        <f>IF(IF('Salary Detail'!$F$18="X",IF((D39*$K$16)&gt;'Salary Detail'!$L$18,(SUM(Q39:T39)),(D39*$K$16)),(D39*$K$16))=0,"",IF('Salary Detail'!$F$18="X",IF((D39*$K$16)&gt;'Salary Detail'!$L$18,(SUM(Q39:T39)),(D39*$K$16)),(D39*$K$16)))</f>
        <v/>
      </c>
      <c r="G39" s="180"/>
      <c r="H39" s="181"/>
      <c r="I39" s="179" t="str">
        <f t="shared" si="1"/>
        <v/>
      </c>
      <c r="J39" s="179"/>
      <c r="K39" s="598" t="str">
        <f t="shared" si="8"/>
        <v/>
      </c>
      <c r="L39" s="179" t="str">
        <f t="shared" si="2"/>
        <v/>
      </c>
      <c r="M39" s="179"/>
      <c r="N39" s="182" t="str">
        <f t="shared" si="3"/>
        <v/>
      </c>
      <c r="O39" s="236"/>
      <c r="P39" s="673"/>
      <c r="Q39" s="673">
        <f t="shared" si="5"/>
        <v>0</v>
      </c>
      <c r="R39" s="673">
        <f t="shared" si="6"/>
        <v>0</v>
      </c>
      <c r="S39" s="673">
        <f t="shared" si="4"/>
        <v>0</v>
      </c>
      <c r="T39" s="673">
        <f t="shared" si="7"/>
        <v>0</v>
      </c>
      <c r="U39" s="674"/>
      <c r="V39" s="674"/>
      <c r="W39" s="674"/>
      <c r="X39" s="674"/>
      <c r="Y39" s="674"/>
      <c r="Z39" s="674"/>
      <c r="AA39" s="674"/>
    </row>
    <row r="40" spans="1:27" x14ac:dyDescent="0.25">
      <c r="A40" s="205"/>
      <c r="B40" s="593"/>
      <c r="C40" s="599"/>
      <c r="D40" s="600"/>
      <c r="E40" s="601" t="str">
        <f t="shared" si="0"/>
        <v/>
      </c>
      <c r="F40" s="179" t="str">
        <f>IF(IF('Salary Detail'!$F$18="X",IF((D40*$K$16)&gt;'Salary Detail'!$L$18,(SUM(Q40:T40)),(D40*$K$16)),(D40*$K$16))=0,"",IF('Salary Detail'!$F$18="X",IF((D40*$K$16)&gt;'Salary Detail'!$L$18,(SUM(Q40:T40)),(D40*$K$16)),(D40*$K$16)))</f>
        <v/>
      </c>
      <c r="G40" s="180"/>
      <c r="H40" s="181"/>
      <c r="I40" s="179" t="str">
        <f t="shared" si="1"/>
        <v/>
      </c>
      <c r="J40" s="179"/>
      <c r="K40" s="598" t="str">
        <f t="shared" si="8"/>
        <v/>
      </c>
      <c r="L40" s="179" t="str">
        <f t="shared" si="2"/>
        <v/>
      </c>
      <c r="M40" s="179"/>
      <c r="N40" s="182" t="str">
        <f t="shared" si="3"/>
        <v/>
      </c>
      <c r="O40" s="236"/>
      <c r="P40" s="673"/>
      <c r="Q40" s="673">
        <f t="shared" si="5"/>
        <v>0</v>
      </c>
      <c r="R40" s="673">
        <f t="shared" si="6"/>
        <v>0</v>
      </c>
      <c r="S40" s="673">
        <f t="shared" si="4"/>
        <v>0</v>
      </c>
      <c r="T40" s="673">
        <f t="shared" si="7"/>
        <v>0</v>
      </c>
      <c r="U40" s="674"/>
      <c r="V40" s="674"/>
      <c r="W40" s="674"/>
      <c r="X40" s="674"/>
      <c r="Y40" s="674"/>
      <c r="Z40" s="674"/>
      <c r="AA40" s="674"/>
    </row>
    <row r="41" spans="1:27" x14ac:dyDescent="0.25">
      <c r="A41" s="205"/>
      <c r="B41" s="593"/>
      <c r="C41" s="599"/>
      <c r="D41" s="600"/>
      <c r="E41" s="601" t="str">
        <f t="shared" si="0"/>
        <v/>
      </c>
      <c r="F41" s="179" t="str">
        <f>IF(IF('Salary Detail'!$F$18="X",IF((D41*$K$16)&gt;'Salary Detail'!$L$18,(SUM(Q41:T41)),(D41*$K$16)),(D41*$K$16))=0,"",IF('Salary Detail'!$F$18="X",IF((D41*$K$16)&gt;'Salary Detail'!$L$18,(SUM(Q41:T41)),(D41*$K$16)),(D41*$K$16)))</f>
        <v/>
      </c>
      <c r="G41" s="180"/>
      <c r="H41" s="181"/>
      <c r="I41" s="179" t="str">
        <f t="shared" si="1"/>
        <v/>
      </c>
      <c r="J41" s="179"/>
      <c r="K41" s="598" t="str">
        <f t="shared" si="8"/>
        <v/>
      </c>
      <c r="L41" s="179" t="str">
        <f t="shared" si="2"/>
        <v/>
      </c>
      <c r="M41" s="179"/>
      <c r="N41" s="182" t="str">
        <f t="shared" si="3"/>
        <v/>
      </c>
      <c r="O41" s="236"/>
      <c r="P41" s="673"/>
      <c r="Q41" s="673">
        <f t="shared" si="5"/>
        <v>0</v>
      </c>
      <c r="R41" s="673">
        <f t="shared" si="6"/>
        <v>0</v>
      </c>
      <c r="S41" s="673">
        <f t="shared" si="4"/>
        <v>0</v>
      </c>
      <c r="T41" s="673">
        <f t="shared" si="7"/>
        <v>0</v>
      </c>
      <c r="U41" s="674"/>
      <c r="V41" s="674"/>
      <c r="W41" s="674"/>
      <c r="X41" s="674"/>
      <c r="Y41" s="674"/>
      <c r="Z41" s="674"/>
      <c r="AA41" s="674"/>
    </row>
    <row r="42" spans="1:27" x14ac:dyDescent="0.25">
      <c r="A42" s="205"/>
      <c r="B42" s="593"/>
      <c r="C42" s="599"/>
      <c r="D42" s="600"/>
      <c r="E42" s="601" t="str">
        <f t="shared" si="0"/>
        <v/>
      </c>
      <c r="F42" s="179" t="str">
        <f>IF(IF('Salary Detail'!$F$18="X",IF((D42*$K$16)&gt;'Salary Detail'!$L$18,(SUM(Q42:T42)),(D42*$K$16)),(D42*$K$16))=0,"",IF('Salary Detail'!$F$18="X",IF((D42*$K$16)&gt;'Salary Detail'!$L$18,(SUM(Q42:T42)),(D42*$K$16)),(D42*$K$16)))</f>
        <v/>
      </c>
      <c r="G42" s="180"/>
      <c r="H42" s="181"/>
      <c r="I42" s="179" t="str">
        <f t="shared" si="1"/>
        <v/>
      </c>
      <c r="J42" s="179"/>
      <c r="K42" s="598" t="str">
        <f t="shared" si="8"/>
        <v/>
      </c>
      <c r="L42" s="179" t="str">
        <f t="shared" si="2"/>
        <v/>
      </c>
      <c r="M42" s="179"/>
      <c r="N42" s="182" t="str">
        <f t="shared" si="3"/>
        <v/>
      </c>
      <c r="O42" s="236"/>
      <c r="P42" s="673"/>
      <c r="Q42" s="673">
        <f t="shared" si="5"/>
        <v>0</v>
      </c>
      <c r="R42" s="673">
        <f t="shared" si="6"/>
        <v>0</v>
      </c>
      <c r="S42" s="673">
        <f t="shared" si="4"/>
        <v>0</v>
      </c>
      <c r="T42" s="673">
        <f t="shared" si="7"/>
        <v>0</v>
      </c>
      <c r="U42" s="674"/>
      <c r="V42" s="674"/>
      <c r="W42" s="674"/>
      <c r="X42" s="674"/>
      <c r="Y42" s="674"/>
      <c r="Z42" s="674"/>
      <c r="AA42" s="674"/>
    </row>
    <row r="43" spans="1:27" x14ac:dyDescent="0.25">
      <c r="A43" s="205"/>
      <c r="B43" s="593"/>
      <c r="C43" s="599"/>
      <c r="D43" s="600"/>
      <c r="E43" s="601" t="str">
        <f t="shared" si="0"/>
        <v/>
      </c>
      <c r="F43" s="179" t="str">
        <f>IF(IF('Salary Detail'!$F$18="X",IF((D43*$K$16)&gt;'Salary Detail'!$L$18,(SUM(Q43:T43)),(D43*$K$16)),(D43*$K$16))=0,"",IF('Salary Detail'!$F$18="X",IF((D43*$K$16)&gt;'Salary Detail'!$L$18,(SUM(Q43:T43)),(D43*$K$16)),(D43*$K$16)))</f>
        <v/>
      </c>
      <c r="G43" s="180"/>
      <c r="H43" s="181"/>
      <c r="I43" s="179" t="str">
        <f t="shared" si="1"/>
        <v/>
      </c>
      <c r="J43" s="179"/>
      <c r="K43" s="598" t="str">
        <f t="shared" si="8"/>
        <v/>
      </c>
      <c r="L43" s="179" t="str">
        <f t="shared" si="2"/>
        <v/>
      </c>
      <c r="M43" s="179"/>
      <c r="N43" s="182" t="str">
        <f t="shared" si="3"/>
        <v/>
      </c>
      <c r="O43" s="236"/>
      <c r="P43" s="673"/>
      <c r="Q43" s="673">
        <f t="shared" si="5"/>
        <v>0</v>
      </c>
      <c r="R43" s="673">
        <f t="shared" si="6"/>
        <v>0</v>
      </c>
      <c r="S43" s="673">
        <f t="shared" si="4"/>
        <v>0</v>
      </c>
      <c r="T43" s="673">
        <f t="shared" si="7"/>
        <v>0</v>
      </c>
      <c r="U43" s="674"/>
      <c r="V43" s="674"/>
      <c r="W43" s="674"/>
      <c r="X43" s="674"/>
      <c r="Y43" s="674"/>
      <c r="Z43" s="674"/>
      <c r="AA43" s="674"/>
    </row>
    <row r="44" spans="1:27" x14ac:dyDescent="0.25">
      <c r="A44" s="205"/>
      <c r="B44" s="593"/>
      <c r="C44" s="599"/>
      <c r="D44" s="600"/>
      <c r="E44" s="601" t="str">
        <f t="shared" si="0"/>
        <v/>
      </c>
      <c r="F44" s="179" t="str">
        <f>IF(IF('Salary Detail'!$F$18="X",IF((D44*$K$16)&gt;'Salary Detail'!$L$18,(SUM(Q44:T44)),(D44*$K$16)),(D44*$K$16))=0,"",IF('Salary Detail'!$F$18="X",IF((D44*$K$16)&gt;'Salary Detail'!$L$18,(SUM(Q44:T44)),(D44*$K$16)),(D44*$K$16)))</f>
        <v/>
      </c>
      <c r="G44" s="180"/>
      <c r="H44" s="181"/>
      <c r="I44" s="179" t="str">
        <f t="shared" si="1"/>
        <v/>
      </c>
      <c r="J44" s="179"/>
      <c r="K44" s="598" t="str">
        <f t="shared" si="8"/>
        <v/>
      </c>
      <c r="L44" s="179" t="str">
        <f t="shared" si="2"/>
        <v/>
      </c>
      <c r="M44" s="179"/>
      <c r="N44" s="182" t="str">
        <f t="shared" si="3"/>
        <v/>
      </c>
      <c r="O44" s="236"/>
      <c r="P44" s="673"/>
      <c r="Q44" s="673">
        <f t="shared" si="5"/>
        <v>0</v>
      </c>
      <c r="R44" s="673">
        <f t="shared" si="6"/>
        <v>0</v>
      </c>
      <c r="S44" s="673">
        <f t="shared" si="4"/>
        <v>0</v>
      </c>
      <c r="T44" s="673">
        <f t="shared" si="7"/>
        <v>0</v>
      </c>
      <c r="U44" s="674"/>
      <c r="V44" s="674"/>
      <c r="W44" s="674"/>
      <c r="X44" s="674"/>
      <c r="Y44" s="674"/>
      <c r="Z44" s="674"/>
      <c r="AA44" s="674"/>
    </row>
    <row r="45" spans="1:27" x14ac:dyDescent="0.25">
      <c r="A45" s="205"/>
      <c r="B45" s="593"/>
      <c r="C45" s="599"/>
      <c r="D45" s="600"/>
      <c r="E45" s="601" t="str">
        <f t="shared" si="0"/>
        <v/>
      </c>
      <c r="F45" s="179" t="str">
        <f>IF(IF('Salary Detail'!$F$18="X",IF((D45*$K$16)&gt;'Salary Detail'!$L$18,(SUM(Q45:T45)),(D45*$K$16)),(D45*$K$16))=0,"",IF('Salary Detail'!$F$18="X",IF((D45*$K$16)&gt;'Salary Detail'!$L$18,(SUM(Q45:T45)),(D45*$K$16)),(D45*$K$16)))</f>
        <v/>
      </c>
      <c r="G45" s="180"/>
      <c r="H45" s="181"/>
      <c r="I45" s="179" t="str">
        <f t="shared" si="1"/>
        <v/>
      </c>
      <c r="J45" s="179"/>
      <c r="K45" s="598" t="str">
        <f t="shared" si="8"/>
        <v/>
      </c>
      <c r="L45" s="179" t="str">
        <f t="shared" si="2"/>
        <v/>
      </c>
      <c r="M45" s="179"/>
      <c r="N45" s="182" t="str">
        <f t="shared" si="3"/>
        <v/>
      </c>
      <c r="O45" s="236"/>
      <c r="P45" s="673"/>
      <c r="Q45" s="673">
        <f t="shared" si="5"/>
        <v>0</v>
      </c>
      <c r="R45" s="673">
        <f t="shared" si="6"/>
        <v>0</v>
      </c>
      <c r="S45" s="673">
        <f t="shared" si="4"/>
        <v>0</v>
      </c>
      <c r="T45" s="673">
        <f t="shared" si="7"/>
        <v>0</v>
      </c>
      <c r="U45" s="674"/>
      <c r="V45" s="674"/>
      <c r="W45" s="674"/>
      <c r="X45" s="674"/>
      <c r="Y45" s="674"/>
      <c r="Z45" s="674"/>
      <c r="AA45" s="674"/>
    </row>
    <row r="46" spans="1:27" x14ac:dyDescent="0.25">
      <c r="A46" s="205"/>
      <c r="B46" s="593"/>
      <c r="C46" s="599"/>
      <c r="D46" s="600"/>
      <c r="E46" s="601" t="str">
        <f t="shared" si="0"/>
        <v/>
      </c>
      <c r="F46" s="179" t="str">
        <f>IF(IF('Salary Detail'!$F$18="X",IF((D46*$K$16)&gt;'Salary Detail'!$L$18,(SUM(Q46:T46)),(D46*$K$16)),(D46*$K$16))=0,"",IF('Salary Detail'!$F$18="X",IF((D46*$K$16)&gt;'Salary Detail'!$L$18,(SUM(Q46:T46)),(D46*$K$16)),(D46*$K$16)))</f>
        <v/>
      </c>
      <c r="G46" s="180"/>
      <c r="H46" s="181"/>
      <c r="I46" s="179" t="str">
        <f t="shared" si="1"/>
        <v/>
      </c>
      <c r="J46" s="179"/>
      <c r="K46" s="598" t="str">
        <f t="shared" si="8"/>
        <v/>
      </c>
      <c r="L46" s="179" t="str">
        <f t="shared" si="2"/>
        <v/>
      </c>
      <c r="M46" s="179"/>
      <c r="N46" s="182" t="str">
        <f t="shared" si="3"/>
        <v/>
      </c>
      <c r="O46" s="236"/>
      <c r="P46" s="673"/>
      <c r="Q46" s="673">
        <f t="shared" si="5"/>
        <v>0</v>
      </c>
      <c r="R46" s="673">
        <f t="shared" si="6"/>
        <v>0</v>
      </c>
      <c r="S46" s="673">
        <f t="shared" si="4"/>
        <v>0</v>
      </c>
      <c r="T46" s="673">
        <f t="shared" si="7"/>
        <v>0</v>
      </c>
      <c r="U46" s="674"/>
      <c r="V46" s="674"/>
      <c r="W46" s="674"/>
      <c r="X46" s="674"/>
      <c r="Y46" s="674"/>
      <c r="Z46" s="674"/>
      <c r="AA46" s="674"/>
    </row>
    <row r="47" spans="1:27" x14ac:dyDescent="0.25">
      <c r="A47" s="205"/>
      <c r="B47" s="593"/>
      <c r="C47" s="599"/>
      <c r="D47" s="600"/>
      <c r="E47" s="601" t="str">
        <f t="shared" si="0"/>
        <v/>
      </c>
      <c r="F47" s="179" t="str">
        <f>IF(IF('Salary Detail'!$F$18="X",IF((D47*$K$16)&gt;'Salary Detail'!$L$18,(SUM(Q47:T47)),(D47*$K$16)),(D47*$K$16))=0,"",IF('Salary Detail'!$F$18="X",IF((D47*$K$16)&gt;'Salary Detail'!$L$18,(SUM(Q47:T47)),(D47*$K$16)),(D47*$K$16)))</f>
        <v/>
      </c>
      <c r="G47" s="180"/>
      <c r="H47" s="181"/>
      <c r="I47" s="179" t="str">
        <f t="shared" si="1"/>
        <v/>
      </c>
      <c r="J47" s="179"/>
      <c r="K47" s="598" t="str">
        <f t="shared" si="8"/>
        <v/>
      </c>
      <c r="L47" s="179" t="str">
        <f t="shared" si="2"/>
        <v/>
      </c>
      <c r="M47" s="179"/>
      <c r="N47" s="182" t="str">
        <f t="shared" si="3"/>
        <v/>
      </c>
      <c r="O47" s="236"/>
      <c r="P47" s="673"/>
      <c r="Q47" s="673">
        <f t="shared" si="5"/>
        <v>0</v>
      </c>
      <c r="R47" s="673">
        <f t="shared" si="6"/>
        <v>0</v>
      </c>
      <c r="S47" s="673">
        <f t="shared" si="4"/>
        <v>0</v>
      </c>
      <c r="T47" s="673">
        <f t="shared" si="7"/>
        <v>0</v>
      </c>
      <c r="U47" s="674"/>
      <c r="V47" s="674"/>
      <c r="W47" s="674"/>
      <c r="X47" s="674"/>
      <c r="Y47" s="674"/>
      <c r="Z47" s="674"/>
      <c r="AA47" s="674"/>
    </row>
    <row r="48" spans="1:27" x14ac:dyDescent="0.25">
      <c r="A48" s="205"/>
      <c r="B48" s="593"/>
      <c r="C48" s="599"/>
      <c r="D48" s="600"/>
      <c r="E48" s="601" t="str">
        <f t="shared" si="0"/>
        <v/>
      </c>
      <c r="F48" s="179" t="str">
        <f>IF(IF('Salary Detail'!$F$18="X",IF((D48*$K$16)&gt;'Salary Detail'!$L$18,(SUM(Q48:T48)),(D48*$K$16)),(D48*$K$16))=0,"",IF('Salary Detail'!$F$18="X",IF((D48*$K$16)&gt;'Salary Detail'!$L$18,(SUM(Q48:T48)),(D48*$K$16)),(D48*$K$16)))</f>
        <v/>
      </c>
      <c r="G48" s="180"/>
      <c r="H48" s="181"/>
      <c r="I48" s="179" t="str">
        <f t="shared" si="1"/>
        <v/>
      </c>
      <c r="J48" s="179"/>
      <c r="K48" s="598" t="str">
        <f t="shared" si="8"/>
        <v/>
      </c>
      <c r="L48" s="179" t="str">
        <f t="shared" si="2"/>
        <v/>
      </c>
      <c r="M48" s="179"/>
      <c r="N48" s="182" t="str">
        <f t="shared" si="3"/>
        <v/>
      </c>
      <c r="O48" s="236"/>
      <c r="P48" s="673"/>
      <c r="Q48" s="673">
        <f t="shared" si="5"/>
        <v>0</v>
      </c>
      <c r="R48" s="673">
        <f t="shared" si="6"/>
        <v>0</v>
      </c>
      <c r="S48" s="673">
        <f t="shared" si="4"/>
        <v>0</v>
      </c>
      <c r="T48" s="673">
        <f t="shared" si="7"/>
        <v>0</v>
      </c>
      <c r="U48" s="674"/>
      <c r="V48" s="674"/>
      <c r="W48" s="674"/>
      <c r="X48" s="674"/>
      <c r="Y48" s="674"/>
      <c r="Z48" s="674"/>
      <c r="AA48" s="674"/>
    </row>
    <row r="49" spans="1:27" x14ac:dyDescent="0.25">
      <c r="A49" s="205"/>
      <c r="B49" s="593"/>
      <c r="C49" s="599"/>
      <c r="D49" s="600"/>
      <c r="E49" s="601" t="str">
        <f t="shared" si="0"/>
        <v/>
      </c>
      <c r="F49" s="179" t="str">
        <f>IF(IF('Salary Detail'!$F$18="X",IF((D49*$K$16)&gt;'Salary Detail'!$L$18,(SUM(Q49:T49)),(D49*$K$16)),(D49*$K$16))=0,"",IF('Salary Detail'!$F$18="X",IF((D49*$K$16)&gt;'Salary Detail'!$L$18,(SUM(Q49:T49)),(D49*$K$16)),(D49*$K$16)))</f>
        <v/>
      </c>
      <c r="G49" s="180"/>
      <c r="H49" s="181"/>
      <c r="I49" s="179" t="str">
        <f t="shared" si="1"/>
        <v/>
      </c>
      <c r="J49" s="179"/>
      <c r="K49" s="598" t="str">
        <f t="shared" si="8"/>
        <v/>
      </c>
      <c r="L49" s="179" t="str">
        <f t="shared" si="2"/>
        <v/>
      </c>
      <c r="M49" s="179"/>
      <c r="N49" s="182" t="str">
        <f t="shared" si="3"/>
        <v/>
      </c>
      <c r="O49" s="236"/>
      <c r="P49" s="673"/>
      <c r="Q49" s="673">
        <f t="shared" si="5"/>
        <v>0</v>
      </c>
      <c r="R49" s="673">
        <f t="shared" si="6"/>
        <v>0</v>
      </c>
      <c r="S49" s="673">
        <f t="shared" si="4"/>
        <v>0</v>
      </c>
      <c r="T49" s="673">
        <f t="shared" si="7"/>
        <v>0</v>
      </c>
      <c r="U49" s="674"/>
      <c r="V49" s="674"/>
      <c r="W49" s="674"/>
      <c r="X49" s="674"/>
      <c r="Y49" s="674"/>
      <c r="Z49" s="674"/>
      <c r="AA49" s="674"/>
    </row>
    <row r="50" spans="1:27" x14ac:dyDescent="0.25">
      <c r="A50" s="205"/>
      <c r="B50" s="593"/>
      <c r="C50" s="599"/>
      <c r="D50" s="600"/>
      <c r="E50" s="601" t="str">
        <f t="shared" si="0"/>
        <v/>
      </c>
      <c r="F50" s="179" t="str">
        <f>IF(IF('Salary Detail'!$F$18="X",IF((D50*$K$16)&gt;'Salary Detail'!$L$18,(SUM(Q50:T50)),(D50*$K$16)),(D50*$K$16))=0,"",IF('Salary Detail'!$F$18="X",IF((D50*$K$16)&gt;'Salary Detail'!$L$18,(SUM(Q50:T50)),(D50*$K$16)),(D50*$K$16)))</f>
        <v/>
      </c>
      <c r="G50" s="180"/>
      <c r="H50" s="181"/>
      <c r="I50" s="179" t="str">
        <f t="shared" si="1"/>
        <v/>
      </c>
      <c r="J50" s="179"/>
      <c r="K50" s="598" t="str">
        <f t="shared" si="8"/>
        <v/>
      </c>
      <c r="L50" s="179" t="str">
        <f t="shared" si="2"/>
        <v/>
      </c>
      <c r="M50" s="179"/>
      <c r="N50" s="182" t="str">
        <f t="shared" si="3"/>
        <v/>
      </c>
      <c r="O50" s="236"/>
      <c r="P50" s="673"/>
      <c r="Q50" s="673">
        <f t="shared" si="5"/>
        <v>0</v>
      </c>
      <c r="R50" s="673">
        <f t="shared" si="6"/>
        <v>0</v>
      </c>
      <c r="S50" s="673">
        <f t="shared" si="4"/>
        <v>0</v>
      </c>
      <c r="T50" s="673">
        <f t="shared" si="7"/>
        <v>0</v>
      </c>
      <c r="U50" s="674"/>
      <c r="V50" s="674"/>
      <c r="W50" s="674"/>
      <c r="X50" s="674"/>
      <c r="Y50" s="674"/>
      <c r="Z50" s="674"/>
      <c r="AA50" s="674"/>
    </row>
    <row r="51" spans="1:27" x14ac:dyDescent="0.25">
      <c r="A51" s="205"/>
      <c r="B51" s="593"/>
      <c r="C51" s="599"/>
      <c r="D51" s="600"/>
      <c r="E51" s="601" t="str">
        <f t="shared" si="0"/>
        <v/>
      </c>
      <c r="F51" s="179" t="str">
        <f>IF(IF('Salary Detail'!$F$18="X",IF((D51*$K$16)&gt;'Salary Detail'!$L$18,(SUM(Q51:T51)),(D51*$K$16)),(D51*$K$16))=0,"",IF('Salary Detail'!$F$18="X",IF((D51*$K$16)&gt;'Salary Detail'!$L$18,(SUM(Q51:T51)),(D51*$K$16)),(D51*$K$16)))</f>
        <v/>
      </c>
      <c r="G51" s="180"/>
      <c r="H51" s="181"/>
      <c r="I51" s="179" t="str">
        <f t="shared" si="1"/>
        <v/>
      </c>
      <c r="J51" s="179"/>
      <c r="K51" s="598" t="str">
        <f t="shared" si="8"/>
        <v/>
      </c>
      <c r="L51" s="179" t="str">
        <f t="shared" si="2"/>
        <v/>
      </c>
      <c r="M51" s="179"/>
      <c r="N51" s="182" t="str">
        <f t="shared" si="3"/>
        <v/>
      </c>
      <c r="O51" s="236"/>
      <c r="P51" s="673"/>
      <c r="Q51" s="673">
        <f t="shared" si="5"/>
        <v>0</v>
      </c>
      <c r="R51" s="673">
        <f t="shared" si="6"/>
        <v>0</v>
      </c>
      <c r="S51" s="673">
        <f t="shared" si="4"/>
        <v>0</v>
      </c>
      <c r="T51" s="673">
        <f t="shared" si="7"/>
        <v>0</v>
      </c>
      <c r="U51" s="674"/>
      <c r="V51" s="674"/>
      <c r="W51" s="674"/>
      <c r="X51" s="674"/>
      <c r="Y51" s="674"/>
      <c r="Z51" s="674"/>
      <c r="AA51" s="674"/>
    </row>
    <row r="52" spans="1:27" x14ac:dyDescent="0.25">
      <c r="A52" s="205"/>
      <c r="B52" s="593"/>
      <c r="C52" s="599"/>
      <c r="D52" s="600"/>
      <c r="E52" s="601" t="str">
        <f t="shared" si="0"/>
        <v/>
      </c>
      <c r="F52" s="179" t="str">
        <f>IF(IF('Salary Detail'!$F$18="X",IF((D52*$K$16)&gt;'Salary Detail'!$L$18,(SUM(Q52:T52)),(D52*$K$16)),(D52*$K$16))=0,"",IF('Salary Detail'!$F$18="X",IF((D52*$K$16)&gt;'Salary Detail'!$L$18,(SUM(Q52:T52)),(D52*$K$16)),(D52*$K$16)))</f>
        <v/>
      </c>
      <c r="G52" s="180"/>
      <c r="H52" s="181"/>
      <c r="I52" s="179" t="str">
        <f t="shared" si="1"/>
        <v/>
      </c>
      <c r="J52" s="179"/>
      <c r="K52" s="598" t="str">
        <f t="shared" si="8"/>
        <v/>
      </c>
      <c r="L52" s="179" t="str">
        <f t="shared" si="2"/>
        <v/>
      </c>
      <c r="M52" s="179"/>
      <c r="N52" s="182" t="str">
        <f t="shared" si="3"/>
        <v/>
      </c>
      <c r="O52" s="236"/>
      <c r="P52" s="673"/>
      <c r="Q52" s="673">
        <f t="shared" si="5"/>
        <v>0</v>
      </c>
      <c r="R52" s="673">
        <f t="shared" si="6"/>
        <v>0</v>
      </c>
      <c r="S52" s="673">
        <f t="shared" si="4"/>
        <v>0</v>
      </c>
      <c r="T52" s="673">
        <f t="shared" si="7"/>
        <v>0</v>
      </c>
      <c r="U52" s="674"/>
      <c r="V52" s="674"/>
      <c r="W52" s="674"/>
      <c r="X52" s="674"/>
      <c r="Y52" s="674"/>
      <c r="Z52" s="674"/>
      <c r="AA52" s="674"/>
    </row>
    <row r="53" spans="1:27" x14ac:dyDescent="0.25">
      <c r="A53" s="205"/>
      <c r="B53" s="593"/>
      <c r="C53" s="599"/>
      <c r="D53" s="600"/>
      <c r="E53" s="601" t="str">
        <f t="shared" si="0"/>
        <v/>
      </c>
      <c r="F53" s="179" t="str">
        <f>IF(IF('Salary Detail'!$F$18="X",IF((D53*$K$16)&gt;'Salary Detail'!$L$18,(SUM(Q53:T53)),(D53*$K$16)),(D53*$K$16))=0,"",IF('Salary Detail'!$F$18="X",IF((D53*$K$16)&gt;'Salary Detail'!$L$18,(SUM(Q53:T53)),(D53*$K$16)),(D53*$K$16)))</f>
        <v/>
      </c>
      <c r="G53" s="180"/>
      <c r="H53" s="181"/>
      <c r="I53" s="179" t="str">
        <f t="shared" si="1"/>
        <v/>
      </c>
      <c r="J53" s="179"/>
      <c r="K53" s="598" t="str">
        <f t="shared" si="8"/>
        <v/>
      </c>
      <c r="L53" s="179" t="str">
        <f t="shared" si="2"/>
        <v/>
      </c>
      <c r="M53" s="179"/>
      <c r="N53" s="182" t="str">
        <f t="shared" si="3"/>
        <v/>
      </c>
      <c r="O53" s="236"/>
      <c r="P53" s="673"/>
      <c r="Q53" s="673">
        <f t="shared" si="5"/>
        <v>0</v>
      </c>
      <c r="R53" s="673">
        <f t="shared" si="6"/>
        <v>0</v>
      </c>
      <c r="S53" s="673">
        <f t="shared" si="4"/>
        <v>0</v>
      </c>
      <c r="T53" s="673">
        <f t="shared" si="7"/>
        <v>0</v>
      </c>
      <c r="U53" s="674"/>
      <c r="V53" s="674"/>
      <c r="W53" s="674"/>
      <c r="X53" s="674"/>
      <c r="Y53" s="674"/>
      <c r="Z53" s="674"/>
      <c r="AA53" s="674"/>
    </row>
    <row r="54" spans="1:27" x14ac:dyDescent="0.25">
      <c r="A54" s="205"/>
      <c r="B54" s="593"/>
      <c r="C54" s="599"/>
      <c r="D54" s="600"/>
      <c r="E54" s="601" t="str">
        <f t="shared" si="0"/>
        <v/>
      </c>
      <c r="F54" s="179" t="str">
        <f>IF(IF('Salary Detail'!$F$18="X",IF((D54*$K$16)&gt;'Salary Detail'!$L$18,(SUM(Q54:T54)),(D54*$K$16)),(D54*$K$16))=0,"",IF('Salary Detail'!$F$18="X",IF((D54*$K$16)&gt;'Salary Detail'!$L$18,(SUM(Q54:T54)),(D54*$K$16)),(D54*$K$16)))</f>
        <v/>
      </c>
      <c r="G54" s="180"/>
      <c r="H54" s="181"/>
      <c r="I54" s="179" t="str">
        <f t="shared" si="1"/>
        <v/>
      </c>
      <c r="J54" s="179"/>
      <c r="K54" s="598" t="str">
        <f t="shared" si="8"/>
        <v/>
      </c>
      <c r="L54" s="179" t="str">
        <f t="shared" si="2"/>
        <v/>
      </c>
      <c r="M54" s="179"/>
      <c r="N54" s="182" t="str">
        <f t="shared" si="3"/>
        <v/>
      </c>
      <c r="O54" s="236"/>
      <c r="P54" s="673"/>
      <c r="Q54" s="673">
        <f t="shared" si="5"/>
        <v>0</v>
      </c>
      <c r="R54" s="673">
        <f t="shared" si="6"/>
        <v>0</v>
      </c>
      <c r="S54" s="673">
        <f t="shared" si="4"/>
        <v>0</v>
      </c>
      <c r="T54" s="673">
        <f t="shared" si="7"/>
        <v>0</v>
      </c>
      <c r="U54" s="674"/>
      <c r="V54" s="674"/>
      <c r="W54" s="674"/>
      <c r="X54" s="674"/>
      <c r="Y54" s="674"/>
      <c r="Z54" s="674"/>
      <c r="AA54" s="674"/>
    </row>
    <row r="55" spans="1:27" x14ac:dyDescent="0.25">
      <c r="A55" s="205"/>
      <c r="B55" s="593"/>
      <c r="C55" s="599"/>
      <c r="D55" s="600"/>
      <c r="E55" s="601" t="str">
        <f t="shared" si="0"/>
        <v/>
      </c>
      <c r="F55" s="179" t="str">
        <f>IF(IF('Salary Detail'!$F$18="X",IF((D55*$K$16)&gt;'Salary Detail'!$L$18,(SUM(Q55:T55)),(D55*$K$16)),(D55*$K$16))=0,"",IF('Salary Detail'!$F$18="X",IF((D55*$K$16)&gt;'Salary Detail'!$L$18,(SUM(Q55:T55)),(D55*$K$16)),(D55*$K$16)))</f>
        <v/>
      </c>
      <c r="G55" s="180"/>
      <c r="H55" s="181"/>
      <c r="I55" s="179" t="str">
        <f t="shared" si="1"/>
        <v/>
      </c>
      <c r="J55" s="179"/>
      <c r="K55" s="598" t="str">
        <f t="shared" si="8"/>
        <v/>
      </c>
      <c r="L55" s="179" t="str">
        <f t="shared" si="2"/>
        <v/>
      </c>
      <c r="M55" s="179"/>
      <c r="N55" s="182" t="str">
        <f t="shared" si="3"/>
        <v/>
      </c>
      <c r="O55" s="236"/>
      <c r="P55" s="673"/>
      <c r="Q55" s="673">
        <f t="shared" si="5"/>
        <v>0</v>
      </c>
      <c r="R55" s="673">
        <f t="shared" si="6"/>
        <v>0</v>
      </c>
      <c r="S55" s="673">
        <f t="shared" si="4"/>
        <v>0</v>
      </c>
      <c r="T55" s="673">
        <f t="shared" si="7"/>
        <v>0</v>
      </c>
      <c r="U55" s="674"/>
      <c r="V55" s="674"/>
      <c r="W55" s="674"/>
      <c r="X55" s="674"/>
      <c r="Y55" s="674"/>
      <c r="Z55" s="674"/>
      <c r="AA55" s="674"/>
    </row>
    <row r="56" spans="1:27" x14ac:dyDescent="0.25">
      <c r="A56" s="205"/>
      <c r="B56" s="593"/>
      <c r="C56" s="599"/>
      <c r="D56" s="600"/>
      <c r="E56" s="601" t="str">
        <f t="shared" si="0"/>
        <v/>
      </c>
      <c r="F56" s="179" t="str">
        <f>IF(IF('Salary Detail'!$F$18="X",IF((D56*$K$16)&gt;'Salary Detail'!$L$18,(SUM(Q56:T56)),(D56*$K$16)),(D56*$K$16))=0,"",IF('Salary Detail'!$F$18="X",IF((D56*$K$16)&gt;'Salary Detail'!$L$18,(SUM(Q56:T56)),(D56*$K$16)),(D56*$K$16)))</f>
        <v/>
      </c>
      <c r="G56" s="180"/>
      <c r="H56" s="181"/>
      <c r="I56" s="179" t="str">
        <f t="shared" si="1"/>
        <v/>
      </c>
      <c r="J56" s="179"/>
      <c r="K56" s="598" t="str">
        <f t="shared" si="8"/>
        <v/>
      </c>
      <c r="L56" s="179" t="str">
        <f t="shared" si="2"/>
        <v/>
      </c>
      <c r="M56" s="179"/>
      <c r="N56" s="182" t="str">
        <f t="shared" si="3"/>
        <v/>
      </c>
      <c r="O56" s="236"/>
      <c r="P56" s="673"/>
      <c r="Q56" s="673">
        <f t="shared" si="5"/>
        <v>0</v>
      </c>
      <c r="R56" s="673">
        <f t="shared" si="6"/>
        <v>0</v>
      </c>
      <c r="S56" s="673">
        <f t="shared" si="4"/>
        <v>0</v>
      </c>
      <c r="T56" s="673">
        <f t="shared" si="7"/>
        <v>0</v>
      </c>
      <c r="U56" s="674"/>
      <c r="V56" s="674"/>
      <c r="W56" s="674"/>
      <c r="X56" s="674"/>
      <c r="Y56" s="674"/>
      <c r="Z56" s="674"/>
      <c r="AA56" s="674"/>
    </row>
    <row r="57" spans="1:27" x14ac:dyDescent="0.25">
      <c r="A57" s="205"/>
      <c r="B57" s="593"/>
      <c r="C57" s="599"/>
      <c r="D57" s="600"/>
      <c r="E57" s="601" t="str">
        <f t="shared" si="0"/>
        <v/>
      </c>
      <c r="F57" s="179" t="str">
        <f>IF(IF('Salary Detail'!$F$18="X",IF((D57*$K$16)&gt;'Salary Detail'!$L$18,(SUM(Q57:T57)),(D57*$K$16)),(D57*$K$16))=0,"",IF('Salary Detail'!$F$18="X",IF((D57*$K$16)&gt;'Salary Detail'!$L$18,(SUM(Q57:T57)),(D57*$K$16)),(D57*$K$16)))</f>
        <v/>
      </c>
      <c r="G57" s="180"/>
      <c r="H57" s="181"/>
      <c r="I57" s="179" t="str">
        <f t="shared" si="1"/>
        <v/>
      </c>
      <c r="J57" s="179"/>
      <c r="K57" s="598" t="str">
        <f t="shared" si="8"/>
        <v/>
      </c>
      <c r="L57" s="179" t="str">
        <f t="shared" si="2"/>
        <v/>
      </c>
      <c r="M57" s="179"/>
      <c r="N57" s="182" t="str">
        <f t="shared" si="3"/>
        <v/>
      </c>
      <c r="O57" s="236"/>
      <c r="P57" s="673"/>
      <c r="Q57" s="673">
        <f t="shared" si="5"/>
        <v>0</v>
      </c>
      <c r="R57" s="673">
        <f t="shared" si="6"/>
        <v>0</v>
      </c>
      <c r="S57" s="673">
        <f t="shared" si="4"/>
        <v>0</v>
      </c>
      <c r="T57" s="673">
        <f t="shared" si="7"/>
        <v>0</v>
      </c>
      <c r="U57" s="674"/>
      <c r="V57" s="674"/>
      <c r="W57" s="674"/>
      <c r="X57" s="674"/>
      <c r="Y57" s="674"/>
      <c r="Z57" s="674"/>
      <c r="AA57" s="674"/>
    </row>
    <row r="58" spans="1:27" x14ac:dyDescent="0.25">
      <c r="A58" s="205"/>
      <c r="B58" s="593"/>
      <c r="C58" s="599"/>
      <c r="D58" s="600"/>
      <c r="E58" s="601" t="str">
        <f t="shared" si="0"/>
        <v/>
      </c>
      <c r="F58" s="179" t="str">
        <f>IF(IF('Salary Detail'!$F$18="X",IF((D58*$K$16)&gt;'Salary Detail'!$L$18,(SUM(Q58:T58)),(D58*$K$16)),(D58*$K$16))=0,"",IF('Salary Detail'!$F$18="X",IF((D58*$K$16)&gt;'Salary Detail'!$L$18,(SUM(Q58:T58)),(D58*$K$16)),(D58*$K$16)))</f>
        <v/>
      </c>
      <c r="G58" s="180"/>
      <c r="H58" s="181"/>
      <c r="I58" s="179" t="str">
        <f t="shared" si="1"/>
        <v/>
      </c>
      <c r="J58" s="179"/>
      <c r="K58" s="598" t="str">
        <f t="shared" si="8"/>
        <v/>
      </c>
      <c r="L58" s="179" t="str">
        <f t="shared" si="2"/>
        <v/>
      </c>
      <c r="M58" s="179"/>
      <c r="N58" s="182" t="str">
        <f t="shared" si="3"/>
        <v/>
      </c>
      <c r="O58" s="236"/>
      <c r="P58" s="673"/>
      <c r="Q58" s="673">
        <f t="shared" si="5"/>
        <v>0</v>
      </c>
      <c r="R58" s="673">
        <f t="shared" si="6"/>
        <v>0</v>
      </c>
      <c r="S58" s="673">
        <f t="shared" si="4"/>
        <v>0</v>
      </c>
      <c r="T58" s="673">
        <f t="shared" si="7"/>
        <v>0</v>
      </c>
      <c r="U58" s="674"/>
      <c r="V58" s="674"/>
      <c r="W58" s="674"/>
      <c r="X58" s="674"/>
      <c r="Y58" s="674"/>
      <c r="Z58" s="674"/>
      <c r="AA58" s="674"/>
    </row>
    <row r="59" spans="1:27" x14ac:dyDescent="0.25">
      <c r="A59" s="205"/>
      <c r="B59" s="593"/>
      <c r="C59" s="599"/>
      <c r="D59" s="600"/>
      <c r="E59" s="601" t="str">
        <f t="shared" si="0"/>
        <v/>
      </c>
      <c r="F59" s="179" t="str">
        <f>IF(IF('Salary Detail'!$F$18="X",IF((D59*$K$16)&gt;'Salary Detail'!$L$18,(SUM(Q59:T59)),(D59*$K$16)),(D59*$K$16))=0,"",IF('Salary Detail'!$F$18="X",IF((D59*$K$16)&gt;'Salary Detail'!$L$18,(SUM(Q59:T59)),(D59*$K$16)),(D59*$K$16)))</f>
        <v/>
      </c>
      <c r="G59" s="180"/>
      <c r="H59" s="181"/>
      <c r="I59" s="179" t="str">
        <f t="shared" si="1"/>
        <v/>
      </c>
      <c r="J59" s="179"/>
      <c r="K59" s="598" t="str">
        <f t="shared" si="8"/>
        <v/>
      </c>
      <c r="L59" s="179" t="str">
        <f t="shared" si="2"/>
        <v/>
      </c>
      <c r="M59" s="179"/>
      <c r="N59" s="182" t="str">
        <f t="shared" si="3"/>
        <v/>
      </c>
      <c r="O59" s="236"/>
      <c r="P59" s="673"/>
      <c r="Q59" s="673">
        <f t="shared" si="5"/>
        <v>0</v>
      </c>
      <c r="R59" s="673">
        <f t="shared" si="6"/>
        <v>0</v>
      </c>
      <c r="S59" s="673">
        <f t="shared" si="4"/>
        <v>0</v>
      </c>
      <c r="T59" s="673">
        <f t="shared" si="7"/>
        <v>0</v>
      </c>
      <c r="U59" s="674"/>
      <c r="V59" s="674"/>
      <c r="W59" s="674"/>
      <c r="X59" s="674"/>
      <c r="Y59" s="674"/>
      <c r="Z59" s="674"/>
      <c r="AA59" s="674"/>
    </row>
    <row r="60" spans="1:27" x14ac:dyDescent="0.25">
      <c r="A60" s="205"/>
      <c r="B60" s="593"/>
      <c r="C60" s="599"/>
      <c r="D60" s="600"/>
      <c r="E60" s="601" t="str">
        <f t="shared" si="0"/>
        <v/>
      </c>
      <c r="F60" s="179" t="str">
        <f>IF(IF('Salary Detail'!$F$18="X",IF((D60*$K$16)&gt;'Salary Detail'!$L$18,(SUM(Q60:T60)),(D60*$K$16)),(D60*$K$16))=0,"",IF('Salary Detail'!$F$18="X",IF((D60*$K$16)&gt;'Salary Detail'!$L$18,(SUM(Q60:T60)),(D60*$K$16)),(D60*$K$16)))</f>
        <v/>
      </c>
      <c r="G60" s="180"/>
      <c r="H60" s="181"/>
      <c r="I60" s="179" t="str">
        <f t="shared" si="1"/>
        <v/>
      </c>
      <c r="J60" s="179"/>
      <c r="K60" s="598" t="str">
        <f t="shared" si="8"/>
        <v/>
      </c>
      <c r="L60" s="179" t="str">
        <f t="shared" si="2"/>
        <v/>
      </c>
      <c r="M60" s="179"/>
      <c r="N60" s="182" t="str">
        <f t="shared" si="3"/>
        <v/>
      </c>
      <c r="O60" s="236"/>
      <c r="P60" s="673"/>
      <c r="Q60" s="673">
        <f t="shared" si="5"/>
        <v>0</v>
      </c>
      <c r="R60" s="673">
        <f t="shared" si="6"/>
        <v>0</v>
      </c>
      <c r="S60" s="673">
        <f t="shared" si="4"/>
        <v>0</v>
      </c>
      <c r="T60" s="673">
        <f t="shared" si="7"/>
        <v>0</v>
      </c>
      <c r="U60" s="674"/>
      <c r="V60" s="674"/>
      <c r="W60" s="674"/>
      <c r="X60" s="674"/>
      <c r="Y60" s="674"/>
      <c r="Z60" s="674"/>
      <c r="AA60" s="674"/>
    </row>
    <row r="61" spans="1:27" x14ac:dyDescent="0.25">
      <c r="A61" s="205"/>
      <c r="B61" s="593"/>
      <c r="C61" s="599"/>
      <c r="D61" s="600"/>
      <c r="E61" s="601" t="str">
        <f t="shared" si="0"/>
        <v/>
      </c>
      <c r="F61" s="179" t="str">
        <f>IF(IF('Salary Detail'!$F$18="X",IF((D61*$K$16)&gt;'Salary Detail'!$L$18,(SUM(Q61:T61)),(D61*$K$16)),(D61*$K$16))=0,"",IF('Salary Detail'!$F$18="X",IF((D61*$K$16)&gt;'Salary Detail'!$L$18,(SUM(Q61:T61)),(D61*$K$16)),(D61*$K$16)))</f>
        <v/>
      </c>
      <c r="G61" s="180"/>
      <c r="H61" s="181"/>
      <c r="I61" s="179" t="str">
        <f t="shared" si="1"/>
        <v/>
      </c>
      <c r="J61" s="179"/>
      <c r="K61" s="598" t="str">
        <f t="shared" si="8"/>
        <v/>
      </c>
      <c r="L61" s="179" t="str">
        <f t="shared" si="2"/>
        <v/>
      </c>
      <c r="M61" s="179"/>
      <c r="N61" s="182" t="str">
        <f t="shared" si="3"/>
        <v/>
      </c>
      <c r="O61" s="236"/>
      <c r="P61" s="673"/>
      <c r="Q61" s="673">
        <f t="shared" si="5"/>
        <v>0</v>
      </c>
      <c r="R61" s="673">
        <f t="shared" si="6"/>
        <v>0</v>
      </c>
      <c r="S61" s="673">
        <f t="shared" si="4"/>
        <v>0</v>
      </c>
      <c r="T61" s="673">
        <f t="shared" si="7"/>
        <v>0</v>
      </c>
      <c r="U61" s="674"/>
      <c r="V61" s="674"/>
      <c r="W61" s="674"/>
      <c r="X61" s="674"/>
      <c r="Y61" s="674"/>
      <c r="Z61" s="674"/>
      <c r="AA61" s="674"/>
    </row>
    <row r="62" spans="1:27" x14ac:dyDescent="0.25">
      <c r="A62" s="206"/>
      <c r="B62" s="594"/>
      <c r="C62" s="602"/>
      <c r="D62" s="603"/>
      <c r="E62" s="604" t="str">
        <f t="shared" si="0"/>
        <v/>
      </c>
      <c r="F62" s="239" t="str">
        <f>IF(IF('Salary Detail'!$F$18="X",IF((D62*$K$16)&gt;'Salary Detail'!$L$18,(SUM(Q62:T62)),(D62*$K$16)),(D62*$K$16))=0,"",IF('Salary Detail'!$F$18="X",IF((D62*$K$16)&gt;'Salary Detail'!$L$18,(SUM(Q62:T62)),(D62*$K$16)),(D62*$K$16)))</f>
        <v/>
      </c>
      <c r="G62" s="238"/>
      <c r="H62" s="605"/>
      <c r="I62" s="239" t="str">
        <f t="shared" si="1"/>
        <v/>
      </c>
      <c r="J62" s="239"/>
      <c r="K62" s="598" t="str">
        <f t="shared" si="8"/>
        <v/>
      </c>
      <c r="L62" s="239" t="str">
        <f t="shared" si="2"/>
        <v/>
      </c>
      <c r="M62" s="239"/>
      <c r="N62" s="240" t="str">
        <f t="shared" si="3"/>
        <v/>
      </c>
      <c r="O62" s="237"/>
      <c r="P62" s="673"/>
      <c r="Q62" s="673">
        <f t="shared" si="5"/>
        <v>0</v>
      </c>
      <c r="R62" s="673">
        <f t="shared" si="6"/>
        <v>0</v>
      </c>
      <c r="S62" s="673">
        <f t="shared" si="4"/>
        <v>0</v>
      </c>
      <c r="T62" s="673">
        <f t="shared" si="7"/>
        <v>0</v>
      </c>
      <c r="U62" s="674"/>
      <c r="V62" s="674"/>
      <c r="W62" s="674"/>
      <c r="X62" s="674"/>
      <c r="Y62" s="674"/>
      <c r="Z62" s="674"/>
      <c r="AA62" s="674"/>
    </row>
    <row r="63" spans="1:27" x14ac:dyDescent="0.25">
      <c r="A63" s="95" t="s">
        <v>41</v>
      </c>
      <c r="B63" s="269"/>
      <c r="C63" s="189"/>
      <c r="D63" s="163"/>
      <c r="E63" s="163"/>
      <c r="F63" s="262"/>
      <c r="G63" s="262"/>
      <c r="H63" s="163"/>
      <c r="I63" s="163">
        <f>SUM(I23:I62)</f>
        <v>0</v>
      </c>
      <c r="J63" s="163"/>
      <c r="K63" s="163"/>
      <c r="L63" s="163">
        <f>SUM(L23:L62)</f>
        <v>0</v>
      </c>
      <c r="M63" s="163"/>
      <c r="N63" s="163">
        <f>SUM(N23:N62)</f>
        <v>0</v>
      </c>
      <c r="O63" s="207"/>
      <c r="P63" s="679"/>
      <c r="Q63" s="679"/>
      <c r="R63" s="679"/>
      <c r="S63" s="673"/>
      <c r="T63" s="674"/>
      <c r="U63" s="674"/>
      <c r="V63" s="674"/>
      <c r="W63" s="674"/>
      <c r="X63" s="674"/>
      <c r="Y63" s="674"/>
      <c r="Z63" s="674"/>
      <c r="AA63" s="674"/>
    </row>
    <row r="64" spans="1:27" x14ac:dyDescent="0.25">
      <c r="A64" s="207"/>
      <c r="B64" s="207"/>
      <c r="C64" s="208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679"/>
      <c r="Q64" s="679"/>
      <c r="R64" s="679"/>
      <c r="S64" s="673"/>
      <c r="T64" s="674"/>
      <c r="U64" s="674"/>
      <c r="V64" s="674"/>
      <c r="W64" s="674"/>
      <c r="X64" s="674"/>
      <c r="Y64" s="674"/>
      <c r="Z64" s="674"/>
      <c r="AA64" s="674"/>
    </row>
    <row r="65" spans="1:27" x14ac:dyDescent="0.25">
      <c r="A65" s="207"/>
      <c r="B65" s="207"/>
      <c r="C65" s="208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679"/>
      <c r="Q65" s="679"/>
      <c r="R65" s="679"/>
      <c r="S65" s="673"/>
      <c r="T65" s="674"/>
      <c r="U65" s="674"/>
      <c r="V65" s="674"/>
      <c r="W65" s="674"/>
      <c r="X65" s="674"/>
      <c r="Y65" s="674"/>
      <c r="Z65" s="674"/>
      <c r="AA65" s="674"/>
    </row>
    <row r="66" spans="1:27" x14ac:dyDescent="0.25">
      <c r="A66" s="207"/>
      <c r="B66" s="207"/>
      <c r="C66" s="208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679"/>
      <c r="Q66" s="679"/>
      <c r="R66" s="679"/>
      <c r="S66" s="673"/>
      <c r="T66" s="674"/>
      <c r="U66" s="674"/>
      <c r="V66" s="674"/>
      <c r="W66" s="674"/>
      <c r="X66" s="674"/>
      <c r="Y66" s="674"/>
      <c r="Z66" s="674"/>
      <c r="AA66" s="674"/>
    </row>
    <row r="67" spans="1:27" x14ac:dyDescent="0.25">
      <c r="A67" s="207"/>
      <c r="B67" s="207"/>
      <c r="C67" s="208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679"/>
      <c r="Q67" s="679"/>
      <c r="R67" s="679"/>
      <c r="S67" s="673"/>
      <c r="T67" s="674"/>
      <c r="U67" s="674"/>
      <c r="V67" s="674"/>
      <c r="W67" s="674"/>
      <c r="X67" s="674"/>
      <c r="Y67" s="674"/>
      <c r="Z67" s="674"/>
      <c r="AA67" s="674"/>
    </row>
    <row r="68" spans="1:27" x14ac:dyDescent="0.25">
      <c r="A68" s="207"/>
      <c r="B68" s="207"/>
      <c r="C68" s="208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679"/>
      <c r="Q68" s="679"/>
      <c r="R68" s="679"/>
      <c r="S68" s="673"/>
      <c r="T68" s="674"/>
      <c r="U68" s="674"/>
      <c r="V68" s="674"/>
      <c r="W68" s="674"/>
      <c r="X68" s="674"/>
      <c r="Y68" s="674"/>
      <c r="Z68" s="674"/>
      <c r="AA68" s="674"/>
    </row>
    <row r="69" spans="1:27" x14ac:dyDescent="0.25">
      <c r="A69" s="207"/>
      <c r="B69" s="207"/>
      <c r="C69" s="208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679"/>
      <c r="Q69" s="679"/>
      <c r="R69" s="679"/>
      <c r="S69" s="673"/>
      <c r="T69" s="674"/>
      <c r="U69" s="674"/>
      <c r="V69" s="674"/>
      <c r="W69" s="674"/>
      <c r="X69" s="674"/>
      <c r="Y69" s="674"/>
      <c r="Z69" s="674"/>
      <c r="AA69" s="674"/>
    </row>
    <row r="70" spans="1:27" x14ac:dyDescent="0.25">
      <c r="A70" s="209"/>
      <c r="B70" s="209"/>
      <c r="C70" s="210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7"/>
      <c r="O70" s="207"/>
      <c r="P70" s="679"/>
      <c r="Q70" s="679"/>
      <c r="R70" s="679"/>
      <c r="S70" s="673"/>
      <c r="T70" s="674"/>
      <c r="U70" s="674"/>
      <c r="V70" s="674"/>
      <c r="W70" s="674"/>
      <c r="X70" s="674"/>
      <c r="Y70" s="674"/>
      <c r="Z70" s="674"/>
      <c r="AA70" s="674"/>
    </row>
    <row r="71" spans="1:27" x14ac:dyDescent="0.25">
      <c r="A71" s="207"/>
      <c r="B71" s="207"/>
      <c r="C71" s="208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11"/>
      <c r="O71" s="207"/>
      <c r="P71" s="679"/>
      <c r="Q71" s="679"/>
      <c r="R71" s="679"/>
      <c r="S71" s="673"/>
      <c r="T71" s="674"/>
      <c r="U71" s="674"/>
      <c r="V71" s="674"/>
      <c r="W71" s="674"/>
      <c r="X71" s="674"/>
      <c r="Y71" s="674"/>
      <c r="Z71" s="674"/>
      <c r="AA71" s="674"/>
    </row>
    <row r="72" spans="1:27" x14ac:dyDescent="0.25">
      <c r="A72" s="924" t="s">
        <v>206</v>
      </c>
      <c r="B72" s="924"/>
      <c r="C72" s="925"/>
      <c r="D72" s="925"/>
      <c r="E72" s="925"/>
      <c r="F72" s="925"/>
      <c r="G72" s="925"/>
      <c r="H72" s="925"/>
      <c r="I72" s="925"/>
      <c r="J72" s="925"/>
      <c r="K72" s="925"/>
      <c r="L72" s="925"/>
      <c r="M72" s="925"/>
      <c r="N72" s="925"/>
      <c r="O72" s="207"/>
      <c r="P72" s="679"/>
      <c r="Q72" s="679"/>
      <c r="R72" s="679"/>
      <c r="S72" s="673"/>
      <c r="T72" s="674"/>
      <c r="U72" s="674"/>
      <c r="V72" s="674"/>
      <c r="W72" s="674"/>
      <c r="X72" s="674"/>
      <c r="Y72" s="674"/>
      <c r="Z72" s="674"/>
      <c r="AA72" s="674"/>
    </row>
    <row r="73" spans="1:27" x14ac:dyDescent="0.25">
      <c r="A73" s="924" t="s">
        <v>137</v>
      </c>
      <c r="B73" s="924"/>
      <c r="C73" s="925"/>
      <c r="D73" s="925"/>
      <c r="E73" s="925"/>
      <c r="F73" s="925"/>
      <c r="G73" s="925"/>
      <c r="H73" s="925"/>
      <c r="I73" s="925"/>
      <c r="J73" s="925"/>
      <c r="K73" s="925"/>
      <c r="L73" s="925"/>
      <c r="M73" s="925"/>
      <c r="N73" s="925"/>
      <c r="O73" s="207"/>
      <c r="P73" s="679"/>
      <c r="Q73" s="679"/>
      <c r="R73" s="679"/>
      <c r="S73" s="673"/>
      <c r="T73" s="674"/>
      <c r="U73" s="674"/>
      <c r="V73" s="674"/>
      <c r="W73" s="674"/>
      <c r="X73" s="674"/>
      <c r="Y73" s="674"/>
      <c r="Z73" s="674"/>
      <c r="AA73" s="674"/>
    </row>
    <row r="74" spans="1:27" x14ac:dyDescent="0.25">
      <c r="A74" s="212"/>
      <c r="B74" s="212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07"/>
      <c r="P74" s="679"/>
      <c r="Q74" s="679"/>
      <c r="R74" s="679"/>
      <c r="S74" s="673"/>
      <c r="T74" s="674"/>
      <c r="U74" s="674"/>
      <c r="V74" s="674"/>
      <c r="W74" s="674"/>
      <c r="X74" s="674"/>
      <c r="Y74" s="674"/>
      <c r="Z74" s="674"/>
      <c r="AA74" s="674"/>
    </row>
    <row r="75" spans="1:27" x14ac:dyDescent="0.25">
      <c r="A75" s="207"/>
      <c r="B75" s="207"/>
      <c r="C75" s="208" t="s">
        <v>6</v>
      </c>
      <c r="D75" s="207"/>
      <c r="E75" s="207"/>
      <c r="F75" s="908" t="str">
        <f>D5</f>
        <v/>
      </c>
      <c r="G75" s="908"/>
      <c r="H75" s="908"/>
      <c r="I75" s="908"/>
      <c r="J75" s="908"/>
      <c r="K75" s="908"/>
      <c r="L75" s="207"/>
      <c r="M75" s="207"/>
      <c r="N75" s="207"/>
      <c r="O75" s="207"/>
      <c r="P75" s="679"/>
      <c r="Q75" s="679"/>
      <c r="R75" s="679"/>
      <c r="S75" s="673"/>
      <c r="T75" s="674"/>
      <c r="U75" s="674"/>
      <c r="V75" s="674"/>
      <c r="W75" s="674"/>
      <c r="X75" s="674"/>
      <c r="Y75" s="674"/>
      <c r="Z75" s="674"/>
      <c r="AA75" s="674"/>
    </row>
    <row r="76" spans="1:27" x14ac:dyDescent="0.25">
      <c r="A76" s="207"/>
      <c r="B76" s="207"/>
      <c r="C76" s="208" t="s">
        <v>8</v>
      </c>
      <c r="D76" s="207"/>
      <c r="E76" s="207"/>
      <c r="F76" s="909" t="str">
        <f>D6</f>
        <v/>
      </c>
      <c r="G76" s="909"/>
      <c r="H76" s="909"/>
      <c r="I76" s="909"/>
      <c r="J76" s="909"/>
      <c r="K76" s="909"/>
      <c r="L76" s="207"/>
      <c r="M76" s="207"/>
      <c r="N76" s="207"/>
      <c r="O76" s="207"/>
      <c r="P76" s="679"/>
      <c r="Q76" s="679"/>
      <c r="R76" s="679"/>
      <c r="S76" s="673"/>
      <c r="T76" s="674"/>
      <c r="U76" s="674"/>
      <c r="V76" s="674"/>
      <c r="W76" s="674"/>
      <c r="X76" s="674"/>
      <c r="Y76" s="674"/>
      <c r="Z76" s="674"/>
      <c r="AA76" s="674"/>
    </row>
    <row r="77" spans="1:27" x14ac:dyDescent="0.25">
      <c r="A77" s="207"/>
      <c r="B77" s="207"/>
      <c r="C77" s="208" t="s">
        <v>122</v>
      </c>
      <c r="D77" s="207"/>
      <c r="E77" s="207"/>
      <c r="F77" s="909" t="str">
        <f>D7</f>
        <v/>
      </c>
      <c r="G77" s="909"/>
      <c r="H77" s="909"/>
      <c r="I77" s="909"/>
      <c r="J77" s="909"/>
      <c r="K77" s="909"/>
      <c r="L77" s="207"/>
      <c r="M77" s="207"/>
      <c r="N77" s="207"/>
      <c r="O77" s="207"/>
      <c r="P77" s="679"/>
      <c r="Q77" s="679"/>
      <c r="R77" s="679"/>
      <c r="S77" s="673"/>
      <c r="T77" s="674"/>
      <c r="U77" s="674"/>
      <c r="V77" s="674"/>
      <c r="W77" s="674"/>
      <c r="X77" s="674"/>
      <c r="Y77" s="674"/>
      <c r="Z77" s="674"/>
      <c r="AA77" s="674"/>
    </row>
    <row r="78" spans="1:27" x14ac:dyDescent="0.25">
      <c r="A78" s="207"/>
      <c r="B78" s="207"/>
      <c r="C78" s="208" t="s">
        <v>10</v>
      </c>
      <c r="D78" s="207"/>
      <c r="E78" s="207"/>
      <c r="F78" s="909" t="str">
        <f>D8</f>
        <v/>
      </c>
      <c r="G78" s="909"/>
      <c r="H78" s="909"/>
      <c r="I78" s="909"/>
      <c r="J78" s="909"/>
      <c r="K78" s="909"/>
      <c r="L78" s="207"/>
      <c r="M78" s="207"/>
      <c r="N78" s="207"/>
      <c r="O78" s="207"/>
      <c r="P78" s="679"/>
      <c r="Q78" s="679"/>
      <c r="R78" s="679"/>
      <c r="S78" s="673"/>
      <c r="T78" s="674"/>
      <c r="U78" s="674"/>
      <c r="V78" s="674"/>
      <c r="W78" s="674"/>
      <c r="X78" s="674"/>
      <c r="Y78" s="674"/>
      <c r="Z78" s="674"/>
      <c r="AA78" s="674"/>
    </row>
    <row r="79" spans="1:27" x14ac:dyDescent="0.25">
      <c r="A79" s="207"/>
      <c r="B79" s="207"/>
      <c r="C79" s="208"/>
      <c r="D79" s="207"/>
      <c r="E79" s="207"/>
      <c r="F79" s="207"/>
      <c r="G79" s="207"/>
      <c r="H79" s="207"/>
      <c r="I79" s="209"/>
      <c r="J79" s="209"/>
      <c r="K79" s="207"/>
      <c r="L79" s="207"/>
      <c r="M79" s="207"/>
      <c r="N79" s="207"/>
      <c r="O79" s="214"/>
      <c r="P79" s="680" t="s">
        <v>42</v>
      </c>
      <c r="Q79" s="679"/>
      <c r="R79" s="679"/>
      <c r="S79" s="673"/>
      <c r="T79" s="674"/>
      <c r="U79" s="674"/>
      <c r="V79" s="674"/>
      <c r="W79" s="674"/>
      <c r="X79" s="674"/>
      <c r="Y79" s="674"/>
      <c r="Z79" s="674"/>
      <c r="AA79" s="674"/>
    </row>
    <row r="80" spans="1:27" x14ac:dyDescent="0.25">
      <c r="A80" s="100"/>
      <c r="B80" s="256" t="s">
        <v>209</v>
      </c>
      <c r="C80" s="830" t="s">
        <v>43</v>
      </c>
      <c r="D80" s="832"/>
      <c r="E80" s="832"/>
      <c r="F80" s="926"/>
      <c r="G80" s="101" t="s">
        <v>109</v>
      </c>
      <c r="H80" s="927"/>
      <c r="I80" s="928"/>
      <c r="J80" s="264" t="s">
        <v>209</v>
      </c>
      <c r="K80" s="102" t="s">
        <v>44</v>
      </c>
      <c r="L80" s="103"/>
      <c r="M80" s="103"/>
      <c r="N80" s="104"/>
      <c r="O80" s="84" t="s">
        <v>109</v>
      </c>
      <c r="P80" s="681" t="s">
        <v>45</v>
      </c>
      <c r="Q80" s="679"/>
      <c r="R80" s="679"/>
      <c r="S80" s="673"/>
      <c r="T80" s="674"/>
      <c r="U80" s="674"/>
      <c r="V80" s="674"/>
      <c r="W80" s="674"/>
      <c r="X80" s="674"/>
      <c r="Y80" s="674"/>
      <c r="Z80" s="674"/>
      <c r="AA80" s="674"/>
    </row>
    <row r="81" spans="1:27" x14ac:dyDescent="0.25">
      <c r="A81" s="105"/>
      <c r="B81" s="108" t="s">
        <v>211</v>
      </c>
      <c r="C81" s="106" t="s">
        <v>22</v>
      </c>
      <c r="D81" s="80"/>
      <c r="E81" s="80" t="s">
        <v>228</v>
      </c>
      <c r="F81" s="107"/>
      <c r="G81" s="80" t="s">
        <v>110</v>
      </c>
      <c r="H81" s="929"/>
      <c r="I81" s="930"/>
      <c r="J81" s="272" t="s">
        <v>211</v>
      </c>
      <c r="K81" s="108" t="str">
        <f>C81</f>
        <v>Salaries</v>
      </c>
      <c r="L81" s="80"/>
      <c r="M81" s="80" t="s">
        <v>228</v>
      </c>
      <c r="N81" s="107"/>
      <c r="O81" s="80" t="s">
        <v>110</v>
      </c>
      <c r="P81" s="682" t="s">
        <v>118</v>
      </c>
      <c r="Q81" s="679"/>
      <c r="R81" s="679"/>
      <c r="S81" s="673"/>
      <c r="T81" s="674"/>
      <c r="U81" s="674"/>
      <c r="V81" s="674"/>
      <c r="W81" s="674"/>
      <c r="X81" s="674"/>
      <c r="Y81" s="674"/>
      <c r="Z81" s="674"/>
      <c r="AA81" s="674"/>
    </row>
    <row r="82" spans="1:27" x14ac:dyDescent="0.25">
      <c r="A82" s="109" t="s">
        <v>32</v>
      </c>
      <c r="B82" s="109" t="s">
        <v>224</v>
      </c>
      <c r="C82" s="110" t="s">
        <v>34</v>
      </c>
      <c r="D82" s="111" t="s">
        <v>30</v>
      </c>
      <c r="E82" s="111" t="s">
        <v>229</v>
      </c>
      <c r="F82" s="112" t="s">
        <v>46</v>
      </c>
      <c r="G82" s="113" t="s">
        <v>33</v>
      </c>
      <c r="H82" s="929" t="s">
        <v>32</v>
      </c>
      <c r="I82" s="930"/>
      <c r="J82" s="272" t="s">
        <v>29</v>
      </c>
      <c r="K82" s="108" t="str">
        <f>C82</f>
        <v>Requested</v>
      </c>
      <c r="L82" s="111" t="str">
        <f>D82</f>
        <v>Benefits</v>
      </c>
      <c r="M82" s="111" t="s">
        <v>229</v>
      </c>
      <c r="N82" s="112" t="str">
        <f>F82</f>
        <v>Totals</v>
      </c>
      <c r="O82" s="113" t="s">
        <v>33</v>
      </c>
      <c r="P82" s="682" t="s">
        <v>47</v>
      </c>
      <c r="Q82" s="679"/>
      <c r="R82" s="679"/>
      <c r="S82" s="673"/>
      <c r="T82" s="674"/>
      <c r="U82" s="674"/>
      <c r="V82" s="674"/>
      <c r="W82" s="674"/>
      <c r="X82" s="674"/>
      <c r="Y82" s="674"/>
      <c r="Z82" s="674"/>
      <c r="AA82" s="674"/>
    </row>
    <row r="83" spans="1:27" ht="12.75" customHeight="1" x14ac:dyDescent="0.25">
      <c r="A83" s="148" t="str">
        <f t="shared" ref="A83:A122" si="9">IF(A23=0,"",A23)</f>
        <v/>
      </c>
      <c r="B83" s="149" t="str">
        <f t="shared" ref="B83:B122" si="10">IFERROR(IF(ROUND(IF(totalyrs&gt;1,((F23*(1+$K$15))),0),0)=0,"",ROUND(IF(totalyrs&gt;1,((F23*(1+$K$15))),0),0)),"")</f>
        <v/>
      </c>
      <c r="C83" s="149" t="str">
        <f>IFERROR(IF(ROUND(IF(totalyrs&gt;1,IF('Salary Detail'!$F$18="X",(IF(F23*(1+$K$15)&gt; MAXSAL,(MAXSAL*G83),(F23*G83*yr2percent*(1+$K$15)))),(F23*G83*yr2percent*(1+$K$15))),0),0)=0,"",ROUND(IF(totalyrs&gt;1,IF('Salary Detail'!$F$18="X",(IF(F23*(1+$K$15)&gt; MAXSAL,(MAXSAL*G83),(F23*G83*yr2percent*(1+$K$15)))),(F23*G83*yr2percent*(1+$K$15))),0),0)),"")</f>
        <v/>
      </c>
      <c r="D83" s="115" t="str">
        <f>IFERROR(IF(C83*0.26=0,"",C83*0.35),"")</f>
        <v/>
      </c>
      <c r="E83" s="266" t="str">
        <f t="shared" ref="E83:E122" si="11">IFERROR(IF(SUM(G83*12)=0,"",SUM(G83*12)),"")</f>
        <v/>
      </c>
      <c r="F83" s="116" t="str">
        <f t="shared" ref="F83:F122" si="12">IFERROR(IF(C83+D83=0,"",C83+D83),"")</f>
        <v/>
      </c>
      <c r="G83" s="183" t="str">
        <f t="shared" ref="G83:G122" si="13">IF(IF(totalyrs&gt;1,(G23),0)=0,"",IF(totalyrs&gt;1,(G23),0))</f>
        <v/>
      </c>
      <c r="H83" s="910" t="str">
        <f t="shared" ref="H83:H122" si="14">IF(A23=0,"",A23)</f>
        <v/>
      </c>
      <c r="I83" s="911"/>
      <c r="J83" s="321" t="str">
        <f t="shared" ref="J83:J122" si="15">IFERROR(IF(ROUND(IF(totalyrs&gt;2,((F23*(1+$K$15)^2)),0),0)=0,"",ROUND(IF(totalyrs&gt;2,((F23*(1+$K$15)^2)),0),0)),"")</f>
        <v/>
      </c>
      <c r="K83" s="117" t="str">
        <f>IFERROR(IF(ROUND(IF(totalyrs&gt;2,IF('Salary Detail'!$F$18="X",(IF(F23*(1+$K$15)^2&gt; MAXSAL,(MAXSAL*O83),(F23*O83*yr3percent*(1+$K$15)^2))),(F23*O83*yr3percent*(1+$K$15)^2)),0),0)=0,"",ROUND(IF(totalyrs&gt;2,IF('Salary Detail'!$F$18="X",(IF(F23*(1+$K$15)^2&gt; MAXSAL,(MAXSAL*O83),(F23*O83*yr3percent*(1+$K$15)^2))),(F23*O83*yr3percent*(1+$K$15)^2)),0),0)),"")</f>
        <v/>
      </c>
      <c r="L83" s="118" t="str">
        <f>IFERROR(IF(K83*0.26=0,"",K83*0.35),"")</f>
        <v/>
      </c>
      <c r="M83" s="266" t="str">
        <f t="shared" ref="M83:M122" si="16">IFERROR(IF(SUM(O83*12)=0,"",SUM(O83*12)),"")</f>
        <v/>
      </c>
      <c r="N83" s="118" t="str">
        <f t="shared" ref="N83:N122" si="17">IFERROR(IF(K83+L83=0,"",K83+L83),"")</f>
        <v/>
      </c>
      <c r="O83" s="184" t="str">
        <f t="shared" ref="O83:O122" si="18">IF(IF(totalyrs&gt;2,(G83),0)=0,"",IF(totalyrs&gt;2,(G83),0))</f>
        <v/>
      </c>
      <c r="P83" s="683">
        <f>IF(AND(totalyrs&gt;1,totalyrs&lt;2),totalyrs-1,1)</f>
        <v>1</v>
      </c>
      <c r="Q83" s="684" t="s">
        <v>48</v>
      </c>
      <c r="R83" s="674"/>
      <c r="S83" s="674"/>
      <c r="T83" s="674"/>
      <c r="U83" s="674"/>
      <c r="V83" s="674"/>
      <c r="W83" s="679"/>
      <c r="X83" s="679"/>
      <c r="Y83" s="674"/>
      <c r="Z83" s="674"/>
      <c r="AA83" s="674"/>
    </row>
    <row r="84" spans="1:27" ht="12.75" customHeight="1" x14ac:dyDescent="0.25">
      <c r="A84" s="148" t="str">
        <f t="shared" si="9"/>
        <v/>
      </c>
      <c r="B84" s="588" t="str">
        <f t="shared" si="10"/>
        <v/>
      </c>
      <c r="C84" s="588" t="str">
        <f>IFERROR(IF(ROUND(IF(totalyrs&gt;1,IF('Salary Detail'!$F$18="X",(IF(F24*(1+$K$15)&gt; MAXSAL,(MAXSAL*G84),(F24*G84*yr2percent*(1+$K$15)))),(F24*G84*yr2percent*(1+$K$15))),0),0)=0,"",ROUND(IF(totalyrs&gt;1,IF('Salary Detail'!$F$18="X",(IF(F24*(1+$K$15)&gt; MAXSAL,(MAXSAL*G84),(F24*G84*yr2percent*(1+$K$15)))),(F24*G84*yr2percent*(1+$K$15))),0),0)),"")</f>
        <v/>
      </c>
      <c r="D84" s="115" t="str">
        <f>IFERROR(IF(C84*0.26=0,"",C84*0.35),"")</f>
        <v/>
      </c>
      <c r="E84" s="266" t="str">
        <f t="shared" si="11"/>
        <v/>
      </c>
      <c r="F84" s="116" t="str">
        <f t="shared" si="12"/>
        <v/>
      </c>
      <c r="G84" s="183" t="str">
        <f t="shared" si="13"/>
        <v/>
      </c>
      <c r="H84" s="910" t="str">
        <f t="shared" si="14"/>
        <v/>
      </c>
      <c r="I84" s="911"/>
      <c r="J84" s="321" t="str">
        <f t="shared" si="15"/>
        <v/>
      </c>
      <c r="K84" s="117" t="str">
        <f>IFERROR(IF(ROUND(IF(totalyrs&gt;2,IF('Salary Detail'!$F$18="X",(IF(F24*(1+$K$15)^2&gt; MAXSAL,(MAXSAL*O84),(F24*O84*yr3percent*(1+$K$15)^2))),(F24*O84*yr3percent*(1+$K$15)^2)),0),0)=0,"",ROUND(IF(totalyrs&gt;2,IF('Salary Detail'!$F$18="X",(IF(F24*(1+$K$15)^2&gt; MAXSAL,(MAXSAL*O84),(F24*O84*yr3percent*(1+$K$15)^2))),(F24*O84*yr3percent*(1+$K$15)^2)),0),0)),"")</f>
        <v/>
      </c>
      <c r="L84" s="118" t="str">
        <f t="shared" ref="L84:L122" si="19">IFERROR(IF(K84*0.26=0,"",K84*0.265),"")</f>
        <v/>
      </c>
      <c r="M84" s="266" t="str">
        <f t="shared" si="16"/>
        <v/>
      </c>
      <c r="N84" s="118" t="str">
        <f t="shared" si="17"/>
        <v/>
      </c>
      <c r="O84" s="184" t="str">
        <f t="shared" si="18"/>
        <v/>
      </c>
      <c r="P84" s="683">
        <f>IF(AND(totalyrs&gt;2,totalyrs&lt;3),totalyrs-2,1)</f>
        <v>1</v>
      </c>
      <c r="Q84" s="684" t="s">
        <v>49</v>
      </c>
      <c r="R84" s="674"/>
      <c r="S84" s="674"/>
      <c r="T84" s="674"/>
      <c r="U84" s="674"/>
      <c r="V84" s="674"/>
      <c r="W84" s="679"/>
      <c r="X84" s="679"/>
      <c r="Y84" s="674"/>
      <c r="Z84" s="674"/>
      <c r="AA84" s="674"/>
    </row>
    <row r="85" spans="1:27" ht="12.65" customHeight="1" x14ac:dyDescent="0.25">
      <c r="A85" s="148" t="str">
        <f t="shared" si="9"/>
        <v/>
      </c>
      <c r="B85" s="588" t="str">
        <f t="shared" si="10"/>
        <v/>
      </c>
      <c r="C85" s="588" t="str">
        <f>IFERROR(IF(ROUND(IF(totalyrs&gt;1,IF('Salary Detail'!$F$18="X",(IF(F25*(1+$K$15)&gt; MAXSAL,(MAXSAL*G85),(F25*G85*yr2percent*(1+$K$15)))),(F25*G85*yr2percent*(1+$K$15))),0),0)=0,"",ROUND(IF(totalyrs&gt;1,IF('Salary Detail'!$F$18="X",(IF(F25*(1+$K$15)&gt; MAXSAL,(MAXSAL*G85),(F25*G85*yr2percent*(1+$K$15)))),(F25*G85*yr2percent*(1+$K$15))),0),0)),"")</f>
        <v/>
      </c>
      <c r="D85" s="115" t="str">
        <f t="shared" ref="D85:D122" si="20">IFERROR(IF(C85*0.26=0,"",C85*0.35),"")</f>
        <v/>
      </c>
      <c r="E85" s="266" t="str">
        <f t="shared" si="11"/>
        <v/>
      </c>
      <c r="F85" s="116" t="str">
        <f t="shared" si="12"/>
        <v/>
      </c>
      <c r="G85" s="183" t="str">
        <f t="shared" si="13"/>
        <v/>
      </c>
      <c r="H85" s="910" t="str">
        <f t="shared" si="14"/>
        <v/>
      </c>
      <c r="I85" s="911"/>
      <c r="J85" s="321" t="str">
        <f t="shared" si="15"/>
        <v/>
      </c>
      <c r="K85" s="117" t="str">
        <f>IFERROR(IF(ROUND(IF(totalyrs&gt;2,IF('Salary Detail'!$F$18="X",(IF(F25*(1+$K$15)^2&gt; MAXSAL,(MAXSAL*O85),(F25*O85*yr3percent*(1+$K$15)^2))),(F25*O85*yr3percent*(1+$K$15)^2)),0),0)=0,"",ROUND(IF(totalyrs&gt;2,IF('Salary Detail'!$F$18="X",(IF(F25*(1+$K$15)^2&gt; MAXSAL,(MAXSAL*O85),(F25*O85*yr3percent*(1+$K$15)^2))),(F25*O85*yr3percent*(1+$K$15)^2)),0),0)),"")</f>
        <v/>
      </c>
      <c r="L85" s="118" t="str">
        <f t="shared" si="19"/>
        <v/>
      </c>
      <c r="M85" s="266" t="str">
        <f t="shared" si="16"/>
        <v/>
      </c>
      <c r="N85" s="118" t="str">
        <f t="shared" si="17"/>
        <v/>
      </c>
      <c r="O85" s="184" t="str">
        <f t="shared" si="18"/>
        <v/>
      </c>
      <c r="P85" s="682"/>
      <c r="Q85" s="679"/>
      <c r="R85" s="674"/>
      <c r="S85" s="674"/>
      <c r="T85" s="674"/>
      <c r="U85" s="674"/>
      <c r="V85" s="674"/>
      <c r="W85" s="679"/>
      <c r="X85" s="679"/>
      <c r="Y85" s="674"/>
      <c r="Z85" s="674"/>
      <c r="AA85" s="674"/>
    </row>
    <row r="86" spans="1:27" ht="12.75" customHeight="1" x14ac:dyDescent="0.25">
      <c r="A86" s="148" t="str">
        <f t="shared" si="9"/>
        <v/>
      </c>
      <c r="B86" s="588" t="str">
        <f t="shared" si="10"/>
        <v/>
      </c>
      <c r="C86" s="588" t="str">
        <f>IFERROR(IF(ROUND(IF(totalyrs&gt;1,IF('Salary Detail'!$F$18="X",(IF(F26*(1+$K$15)&gt; MAXSAL,(MAXSAL*G86),(F26*G86*yr2percent*(1+$K$15)))),(F26*G86*yr2percent*(1+$K$15))),0),0)=0,"",ROUND(IF(totalyrs&gt;1,IF('Salary Detail'!$F$18="X",(IF(F26*(1+$K$15)&gt; MAXSAL,(MAXSAL*G86),(F26*G86*yr2percent*(1+$K$15)))),(F26*G86*yr2percent*(1+$K$15))),0),0)),"")</f>
        <v/>
      </c>
      <c r="D86" s="115" t="str">
        <f t="shared" si="20"/>
        <v/>
      </c>
      <c r="E86" s="266" t="str">
        <f t="shared" si="11"/>
        <v/>
      </c>
      <c r="F86" s="116" t="str">
        <f t="shared" si="12"/>
        <v/>
      </c>
      <c r="G86" s="183" t="str">
        <f t="shared" si="13"/>
        <v/>
      </c>
      <c r="H86" s="910" t="str">
        <f t="shared" si="14"/>
        <v/>
      </c>
      <c r="I86" s="911"/>
      <c r="J86" s="321" t="str">
        <f t="shared" si="15"/>
        <v/>
      </c>
      <c r="K86" s="117" t="str">
        <f>IFERROR(IF(ROUND(IF(totalyrs&gt;2,IF('Salary Detail'!$F$18="X",(IF(F26*(1+$K$15)^2&gt; MAXSAL,(MAXSAL*O86),(F26*O86*yr3percent*(1+$K$15)^2))),(F26*O86*yr3percent*(1+$K$15)^2)),0),0)=0,"",ROUND(IF(totalyrs&gt;2,IF('Salary Detail'!$F$18="X",(IF(F26*(1+$K$15)^2&gt; MAXSAL,(MAXSAL*O86),(F26*O86*yr3percent*(1+$K$15)^2))),(F26*O86*yr3percent*(1+$K$15)^2)),0),0)),"")</f>
        <v/>
      </c>
      <c r="L86" s="118" t="str">
        <f t="shared" si="19"/>
        <v/>
      </c>
      <c r="M86" s="266" t="str">
        <f t="shared" si="16"/>
        <v/>
      </c>
      <c r="N86" s="118" t="str">
        <f t="shared" si="17"/>
        <v/>
      </c>
      <c r="O86" s="184" t="str">
        <f t="shared" si="18"/>
        <v/>
      </c>
      <c r="P86" s="682"/>
      <c r="Q86" s="679"/>
      <c r="R86" s="674"/>
      <c r="S86" s="674"/>
      <c r="T86" s="674"/>
      <c r="U86" s="674"/>
      <c r="V86" s="674"/>
      <c r="W86" s="679"/>
      <c r="X86" s="679"/>
      <c r="Y86" s="674"/>
      <c r="Z86" s="674"/>
      <c r="AA86" s="674"/>
    </row>
    <row r="87" spans="1:27" ht="12.75" customHeight="1" x14ac:dyDescent="0.25">
      <c r="A87" s="148" t="str">
        <f t="shared" si="9"/>
        <v/>
      </c>
      <c r="B87" s="588" t="str">
        <f t="shared" si="10"/>
        <v/>
      </c>
      <c r="C87" s="588" t="str">
        <f>IFERROR(IF(ROUND(IF(totalyrs&gt;1,IF('Salary Detail'!$F$18="X",(IF(F27*(1+$K$15)&gt; MAXSAL,(MAXSAL*G87),(F27*G87*yr2percent*(1+$K$15)))),(F27*G87*yr2percent*(1+$K$15))),0),0)=0,"",ROUND(IF(totalyrs&gt;1,IF('Salary Detail'!$F$18="X",(IF(F27*(1+$K$15)&gt; MAXSAL,(MAXSAL*G87),(F27*G87*yr2percent*(1+$K$15)))),(F27*G87*yr2percent*(1+$K$15))),0),0)),"")</f>
        <v/>
      </c>
      <c r="D87" s="115" t="str">
        <f t="shared" si="20"/>
        <v/>
      </c>
      <c r="E87" s="266" t="str">
        <f t="shared" si="11"/>
        <v/>
      </c>
      <c r="F87" s="116" t="str">
        <f t="shared" si="12"/>
        <v/>
      </c>
      <c r="G87" s="183" t="str">
        <f t="shared" si="13"/>
        <v/>
      </c>
      <c r="H87" s="910" t="str">
        <f t="shared" si="14"/>
        <v/>
      </c>
      <c r="I87" s="911"/>
      <c r="J87" s="321" t="str">
        <f t="shared" si="15"/>
        <v/>
      </c>
      <c r="K87" s="117" t="str">
        <f>IFERROR(IF(ROUND(IF(totalyrs&gt;2,IF('Salary Detail'!$F$18="X",(IF(F27*(1+$K$15)^2&gt; MAXSAL,(MAXSAL*O87),(F27*O87*yr3percent*(1+$K$15)^2))),(F27*O87*yr3percent*(1+$K$15)^2)),0),0)=0,"",ROUND(IF(totalyrs&gt;2,IF('Salary Detail'!$F$18="X",(IF(F27*(1+$K$15)^2&gt; MAXSAL,(MAXSAL*O87),(F27*O87*yr3percent*(1+$K$15)^2))),(F27*O87*yr3percent*(1+$K$15)^2)),0),0)),"")</f>
        <v/>
      </c>
      <c r="L87" s="118" t="str">
        <f t="shared" si="19"/>
        <v/>
      </c>
      <c r="M87" s="266" t="str">
        <f t="shared" si="16"/>
        <v/>
      </c>
      <c r="N87" s="118" t="str">
        <f t="shared" si="17"/>
        <v/>
      </c>
      <c r="O87" s="184" t="str">
        <f t="shared" si="18"/>
        <v/>
      </c>
      <c r="P87" s="682"/>
      <c r="Q87" s="679"/>
      <c r="R87" s="674"/>
      <c r="S87" s="674"/>
      <c r="T87" s="674"/>
      <c r="U87" s="674"/>
      <c r="V87" s="674"/>
      <c r="W87" s="679"/>
      <c r="X87" s="679"/>
      <c r="Y87" s="674"/>
      <c r="Z87" s="674"/>
      <c r="AA87" s="674"/>
    </row>
    <row r="88" spans="1:27" ht="12.75" customHeight="1" x14ac:dyDescent="0.25">
      <c r="A88" s="148" t="str">
        <f t="shared" si="9"/>
        <v/>
      </c>
      <c r="B88" s="588" t="str">
        <f t="shared" si="10"/>
        <v/>
      </c>
      <c r="C88" s="588" t="str">
        <f>IFERROR(IF(ROUND(IF(totalyrs&gt;1,IF('Salary Detail'!$F$18="X",(IF(F28*(1+$K$15)&gt; MAXSAL,(MAXSAL*G88),(F28*G88*yr2percent*(1+$K$15)))),(F28*G88*yr2percent*(1+$K$15))),0),0)=0,"",ROUND(IF(totalyrs&gt;1,IF('Salary Detail'!$F$18="X",(IF(F28*(1+$K$15)&gt; MAXSAL,(MAXSAL*G88),(F28*G88*yr2percent*(1+$K$15)))),(F28*G88*yr2percent*(1+$K$15))),0),0)),"")</f>
        <v/>
      </c>
      <c r="D88" s="115" t="str">
        <f t="shared" si="20"/>
        <v/>
      </c>
      <c r="E88" s="266" t="str">
        <f t="shared" si="11"/>
        <v/>
      </c>
      <c r="F88" s="116" t="str">
        <f t="shared" si="12"/>
        <v/>
      </c>
      <c r="G88" s="183" t="str">
        <f t="shared" si="13"/>
        <v/>
      </c>
      <c r="H88" s="910" t="str">
        <f t="shared" si="14"/>
        <v/>
      </c>
      <c r="I88" s="911"/>
      <c r="J88" s="321" t="str">
        <f t="shared" si="15"/>
        <v/>
      </c>
      <c r="K88" s="117" t="str">
        <f>IFERROR(IF(ROUND(IF(totalyrs&gt;2,IF('Salary Detail'!$F$18="X",(IF(F28*(1+$K$15)^2&gt; MAXSAL,(MAXSAL*O88),(F28*O88*yr3percent*(1+$K$15)^2))),(F28*O88*yr3percent*(1+$K$15)^2)),0),0)=0,"",ROUND(IF(totalyrs&gt;2,IF('Salary Detail'!$F$18="X",(IF(F28*(1+$K$15)^2&gt; MAXSAL,(MAXSAL*O88),(F28*O88*yr3percent*(1+$K$15)^2))),(F28*O88*yr3percent*(1+$K$15)^2)),0),0)),"")</f>
        <v/>
      </c>
      <c r="L88" s="118" t="str">
        <f t="shared" si="19"/>
        <v/>
      </c>
      <c r="M88" s="266" t="str">
        <f t="shared" si="16"/>
        <v/>
      </c>
      <c r="N88" s="118" t="str">
        <f t="shared" si="17"/>
        <v/>
      </c>
      <c r="O88" s="184" t="str">
        <f t="shared" si="18"/>
        <v/>
      </c>
      <c r="P88" s="682"/>
      <c r="Q88" s="679"/>
      <c r="R88" s="674"/>
      <c r="S88" s="674"/>
      <c r="T88" s="674"/>
      <c r="U88" s="674"/>
      <c r="V88" s="674"/>
      <c r="W88" s="679"/>
      <c r="X88" s="679"/>
      <c r="Y88" s="674"/>
      <c r="Z88" s="674"/>
      <c r="AA88" s="674"/>
    </row>
    <row r="89" spans="1:27" ht="12.75" customHeight="1" x14ac:dyDescent="0.25">
      <c r="A89" s="148" t="str">
        <f t="shared" si="9"/>
        <v/>
      </c>
      <c r="B89" s="588" t="str">
        <f t="shared" si="10"/>
        <v/>
      </c>
      <c r="C89" s="588" t="str">
        <f>IFERROR(IF(ROUND(IF(totalyrs&gt;1,IF('Salary Detail'!$F$18="X",(IF(F29*(1+$K$15)&gt; MAXSAL,(MAXSAL*G89),(F29*G89*yr2percent*(1+$K$15)))),(F29*G89*yr2percent*(1+$K$15))),0),0)=0,"",ROUND(IF(totalyrs&gt;1,IF('Salary Detail'!$F$18="X",(IF(F29*(1+$K$15)&gt; MAXSAL,(MAXSAL*G89),(F29*G89*yr2percent*(1+$K$15)))),(F29*G89*yr2percent*(1+$K$15))),0),0)),"")</f>
        <v/>
      </c>
      <c r="D89" s="115" t="str">
        <f t="shared" si="20"/>
        <v/>
      </c>
      <c r="E89" s="266" t="str">
        <f t="shared" si="11"/>
        <v/>
      </c>
      <c r="F89" s="116" t="str">
        <f t="shared" si="12"/>
        <v/>
      </c>
      <c r="G89" s="183" t="str">
        <f t="shared" si="13"/>
        <v/>
      </c>
      <c r="H89" s="910" t="str">
        <f t="shared" si="14"/>
        <v/>
      </c>
      <c r="I89" s="911"/>
      <c r="J89" s="321" t="str">
        <f t="shared" si="15"/>
        <v/>
      </c>
      <c r="K89" s="117" t="str">
        <f>IFERROR(IF(ROUND(IF(totalyrs&gt;2,IF('Salary Detail'!$F$18="X",(IF(F29*(1+$K$15)^2&gt; MAXSAL,(MAXSAL*O89),(F29*O89*yr3percent*(1+$K$15)^2))),(F29*O89*yr3percent*(1+$K$15)^2)),0),0)=0,"",ROUND(IF(totalyrs&gt;2,IF('Salary Detail'!$F$18="X",(IF(F29*(1+$K$15)^2&gt; MAXSAL,(MAXSAL*O89),(F29*O89*yr3percent*(1+$K$15)^2))),(F29*O89*yr3percent*(1+$K$15)^2)),0),0)),"")</f>
        <v/>
      </c>
      <c r="L89" s="118" t="str">
        <f t="shared" si="19"/>
        <v/>
      </c>
      <c r="M89" s="266" t="str">
        <f t="shared" si="16"/>
        <v/>
      </c>
      <c r="N89" s="118" t="str">
        <f t="shared" si="17"/>
        <v/>
      </c>
      <c r="O89" s="184" t="str">
        <f t="shared" si="18"/>
        <v/>
      </c>
      <c r="P89" s="682"/>
      <c r="Q89" s="679"/>
      <c r="R89" s="685"/>
      <c r="S89" s="674"/>
      <c r="T89" s="674"/>
      <c r="U89" s="674"/>
      <c r="V89" s="674"/>
      <c r="W89" s="679"/>
      <c r="X89" s="679"/>
      <c r="Y89" s="674"/>
      <c r="Z89" s="674"/>
      <c r="AA89" s="674"/>
    </row>
    <row r="90" spans="1:27" ht="12.75" customHeight="1" x14ac:dyDescent="0.25">
      <c r="A90" s="148" t="str">
        <f t="shared" si="9"/>
        <v/>
      </c>
      <c r="B90" s="588" t="str">
        <f t="shared" si="10"/>
        <v/>
      </c>
      <c r="C90" s="588" t="str">
        <f>IFERROR(IF(ROUND(IF(totalyrs&gt;1,IF('Salary Detail'!$F$18="X",(IF(F30*(1+$K$15)&gt; MAXSAL,(MAXSAL*G90),(F30*G90*yr2percent*(1+$K$15)))),(F30*G90*yr2percent*(1+$K$15))),0),0)=0,"",ROUND(IF(totalyrs&gt;1,IF('Salary Detail'!$F$18="X",(IF(F30*(1+$K$15)&gt; MAXSAL,(MAXSAL*G90),(F30*G90*yr2percent*(1+$K$15)))),(F30*G90*yr2percent*(1+$K$15))),0),0)),"")</f>
        <v/>
      </c>
      <c r="D90" s="115" t="str">
        <f t="shared" si="20"/>
        <v/>
      </c>
      <c r="E90" s="266" t="str">
        <f t="shared" si="11"/>
        <v/>
      </c>
      <c r="F90" s="116" t="str">
        <f t="shared" si="12"/>
        <v/>
      </c>
      <c r="G90" s="183" t="str">
        <f t="shared" si="13"/>
        <v/>
      </c>
      <c r="H90" s="910" t="str">
        <f t="shared" si="14"/>
        <v/>
      </c>
      <c r="I90" s="911"/>
      <c r="J90" s="321" t="str">
        <f t="shared" si="15"/>
        <v/>
      </c>
      <c r="K90" s="117" t="str">
        <f>IFERROR(IF(ROUND(IF(totalyrs&gt;2,IF('Salary Detail'!$F$18="X",(IF(F30*(1+$K$15)^2&gt; MAXSAL,(MAXSAL*O90),(F30*O90*yr3percent*(1+$K$15)^2))),(F30*O90*yr3percent*(1+$K$15)^2)),0),0)=0,"",ROUND(IF(totalyrs&gt;2,IF('Salary Detail'!$F$18="X",(IF(F30*(1+$K$15)^2&gt; MAXSAL,(MAXSAL*O90),(F30*O90*yr3percent*(1+$K$15)^2))),(F30*O90*yr3percent*(1+$K$15)^2)),0),0)),"")</f>
        <v/>
      </c>
      <c r="L90" s="118" t="str">
        <f t="shared" si="19"/>
        <v/>
      </c>
      <c r="M90" s="266" t="str">
        <f t="shared" si="16"/>
        <v/>
      </c>
      <c r="N90" s="118" t="str">
        <f t="shared" si="17"/>
        <v/>
      </c>
      <c r="O90" s="184" t="str">
        <f t="shared" si="18"/>
        <v/>
      </c>
      <c r="P90" s="682"/>
      <c r="Q90" s="679"/>
      <c r="R90" s="685"/>
      <c r="S90" s="674"/>
      <c r="T90" s="674"/>
      <c r="U90" s="674"/>
      <c r="V90" s="674"/>
      <c r="W90" s="679"/>
      <c r="X90" s="679"/>
      <c r="Y90" s="674"/>
      <c r="Z90" s="674"/>
      <c r="AA90" s="674"/>
    </row>
    <row r="91" spans="1:27" ht="12.75" customHeight="1" x14ac:dyDescent="0.25">
      <c r="A91" s="148" t="str">
        <f t="shared" si="9"/>
        <v/>
      </c>
      <c r="B91" s="588" t="str">
        <f t="shared" si="10"/>
        <v/>
      </c>
      <c r="C91" s="588" t="str">
        <f>IFERROR(IF(ROUND(IF(totalyrs&gt;1,IF('Salary Detail'!$F$18="X",(IF(F31*(1+$K$15)&gt; MAXSAL,(MAXSAL*G91),(F31*G91*yr2percent*(1+$K$15)))),(F31*G91*yr2percent*(1+$K$15))),0),0)=0,"",ROUND(IF(totalyrs&gt;1,IF('Salary Detail'!$F$18="X",(IF(F31*(1+$K$15)&gt; MAXSAL,(MAXSAL*G91),(F31*G91*yr2percent*(1+$K$15)))),(F31*G91*yr2percent*(1+$K$15))),0),0)),"")</f>
        <v/>
      </c>
      <c r="D91" s="115" t="str">
        <f t="shared" si="20"/>
        <v/>
      </c>
      <c r="E91" s="266" t="str">
        <f t="shared" si="11"/>
        <v/>
      </c>
      <c r="F91" s="116" t="str">
        <f t="shared" si="12"/>
        <v/>
      </c>
      <c r="G91" s="183" t="str">
        <f t="shared" si="13"/>
        <v/>
      </c>
      <c r="H91" s="910" t="str">
        <f t="shared" si="14"/>
        <v/>
      </c>
      <c r="I91" s="911"/>
      <c r="J91" s="321" t="str">
        <f t="shared" si="15"/>
        <v/>
      </c>
      <c r="K91" s="117" t="str">
        <f>IFERROR(IF(ROUND(IF(totalyrs&gt;2,IF('Salary Detail'!$F$18="X",(IF(F31*(1+$K$15)^2&gt; MAXSAL,(MAXSAL*O91),(F31*O91*yr3percent*(1+$K$15)^2))),(F31*O91*yr3percent*(1+$K$15)^2)),0),0)=0,"",ROUND(IF(totalyrs&gt;2,IF('Salary Detail'!$F$18="X",(IF(F31*(1+$K$15)^2&gt; MAXSAL,(MAXSAL*O91),(F31*O91*yr3percent*(1+$K$15)^2))),(F31*O91*yr3percent*(1+$K$15)^2)),0),0)),"")</f>
        <v/>
      </c>
      <c r="L91" s="118" t="str">
        <f t="shared" si="19"/>
        <v/>
      </c>
      <c r="M91" s="266" t="str">
        <f t="shared" si="16"/>
        <v/>
      </c>
      <c r="N91" s="118" t="str">
        <f t="shared" si="17"/>
        <v/>
      </c>
      <c r="O91" s="184" t="str">
        <f t="shared" si="18"/>
        <v/>
      </c>
      <c r="P91" s="682"/>
      <c r="Q91" s="679"/>
      <c r="R91" s="674"/>
      <c r="S91" s="674"/>
      <c r="T91" s="674"/>
      <c r="U91" s="674"/>
      <c r="V91" s="674"/>
      <c r="W91" s="679"/>
      <c r="X91" s="679"/>
      <c r="Y91" s="674"/>
      <c r="Z91" s="674"/>
      <c r="AA91" s="674"/>
    </row>
    <row r="92" spans="1:27" ht="12.75" customHeight="1" x14ac:dyDescent="0.25">
      <c r="A92" s="148" t="str">
        <f t="shared" si="9"/>
        <v/>
      </c>
      <c r="B92" s="588" t="str">
        <f t="shared" si="10"/>
        <v/>
      </c>
      <c r="C92" s="588" t="str">
        <f>IFERROR(IF(ROUND(IF(totalyrs&gt;1,IF('Salary Detail'!$F$18="X",(IF(F32*(1+$K$15)&gt; MAXSAL,(MAXSAL*G92),(F32*G92*yr2percent*(1+$K$15)))),(F32*G92*yr2percent*(1+$K$15))),0),0)=0,"",ROUND(IF(totalyrs&gt;1,IF('Salary Detail'!$F$18="X",(IF(F32*(1+$K$15)&gt; MAXSAL,(MAXSAL*G92),(F32*G92*yr2percent*(1+$K$15)))),(F32*G92*yr2percent*(1+$K$15))),0),0)),"")</f>
        <v/>
      </c>
      <c r="D92" s="115" t="str">
        <f t="shared" si="20"/>
        <v/>
      </c>
      <c r="E92" s="266" t="str">
        <f t="shared" si="11"/>
        <v/>
      </c>
      <c r="F92" s="116" t="str">
        <f t="shared" si="12"/>
        <v/>
      </c>
      <c r="G92" s="183" t="str">
        <f t="shared" si="13"/>
        <v/>
      </c>
      <c r="H92" s="910" t="str">
        <f t="shared" si="14"/>
        <v/>
      </c>
      <c r="I92" s="911"/>
      <c r="J92" s="321" t="str">
        <f t="shared" si="15"/>
        <v/>
      </c>
      <c r="K92" s="117" t="str">
        <f>IFERROR(IF(ROUND(IF(totalyrs&gt;2,IF('Salary Detail'!$F$18="X",(IF(F32*(1+$K$15)^2&gt; MAXSAL,(MAXSAL*O92),(F32*O92*yr3percent*(1+$K$15)^2))),(F32*O92*yr3percent*(1+$K$15)^2)),0),0)=0,"",ROUND(IF(totalyrs&gt;2,IF('Salary Detail'!$F$18="X",(IF(F32*(1+$K$15)^2&gt; MAXSAL,(MAXSAL*O92),(F32*O92*yr3percent*(1+$K$15)^2))),(F32*O92*yr3percent*(1+$K$15)^2)),0),0)),"")</f>
        <v/>
      </c>
      <c r="L92" s="118" t="str">
        <f t="shared" si="19"/>
        <v/>
      </c>
      <c r="M92" s="266" t="str">
        <f t="shared" si="16"/>
        <v/>
      </c>
      <c r="N92" s="118" t="str">
        <f t="shared" si="17"/>
        <v/>
      </c>
      <c r="O92" s="184" t="str">
        <f t="shared" si="18"/>
        <v/>
      </c>
      <c r="P92" s="682"/>
      <c r="Q92" s="679"/>
      <c r="R92" s="674"/>
      <c r="S92" s="674"/>
      <c r="T92" s="674"/>
      <c r="U92" s="674"/>
      <c r="V92" s="674"/>
      <c r="W92" s="679"/>
      <c r="X92" s="679"/>
      <c r="Y92" s="674"/>
      <c r="Z92" s="674"/>
      <c r="AA92" s="674"/>
    </row>
    <row r="93" spans="1:27" ht="12.75" customHeight="1" x14ac:dyDescent="0.25">
      <c r="A93" s="148" t="str">
        <f t="shared" si="9"/>
        <v/>
      </c>
      <c r="B93" s="588" t="str">
        <f t="shared" si="10"/>
        <v/>
      </c>
      <c r="C93" s="588" t="str">
        <f>IFERROR(IF(ROUND(IF(totalyrs&gt;1,IF('Salary Detail'!$F$18="X",(IF(F33*(1+$K$15)&gt; MAXSAL,(MAXSAL*G93),(F33*G93*yr2percent*(1+$K$15)))),(F33*G93*yr2percent*(1+$K$15))),0),0)=0,"",ROUND(IF(totalyrs&gt;1,IF('Salary Detail'!$F$18="X",(IF(F33*(1+$K$15)&gt; MAXSAL,(MAXSAL*G93),(F33*G93*yr2percent*(1+$K$15)))),(F33*G93*yr2percent*(1+$K$15))),0),0)),"")</f>
        <v/>
      </c>
      <c r="D93" s="115" t="str">
        <f t="shared" si="20"/>
        <v/>
      </c>
      <c r="E93" s="266" t="str">
        <f t="shared" si="11"/>
        <v/>
      </c>
      <c r="F93" s="116" t="str">
        <f t="shared" si="12"/>
        <v/>
      </c>
      <c r="G93" s="183" t="str">
        <f t="shared" si="13"/>
        <v/>
      </c>
      <c r="H93" s="910" t="str">
        <f t="shared" si="14"/>
        <v/>
      </c>
      <c r="I93" s="911"/>
      <c r="J93" s="321" t="str">
        <f t="shared" si="15"/>
        <v/>
      </c>
      <c r="K93" s="117" t="str">
        <f>IFERROR(IF(ROUND(IF(totalyrs&gt;2,IF('Salary Detail'!$F$18="X",(IF(F33*(1+$K$15)^2&gt; MAXSAL,(MAXSAL*O93),(F33*O93*yr3percent*(1+$K$15)^2))),(F33*O93*yr3percent*(1+$K$15)^2)),0),0)=0,"",ROUND(IF(totalyrs&gt;2,IF('Salary Detail'!$F$18="X",(IF(F33*(1+$K$15)^2&gt; MAXSAL,(MAXSAL*O93),(F33*O93*yr3percent*(1+$K$15)^2))),(F33*O93*yr3percent*(1+$K$15)^2)),0),0)),"")</f>
        <v/>
      </c>
      <c r="L93" s="118" t="str">
        <f t="shared" si="19"/>
        <v/>
      </c>
      <c r="M93" s="266" t="str">
        <f t="shared" si="16"/>
        <v/>
      </c>
      <c r="N93" s="118" t="str">
        <f t="shared" si="17"/>
        <v/>
      </c>
      <c r="O93" s="184" t="str">
        <f t="shared" si="18"/>
        <v/>
      </c>
      <c r="P93" s="686"/>
      <c r="Q93" s="679"/>
      <c r="R93" s="674"/>
      <c r="S93" s="674"/>
      <c r="T93" s="674"/>
      <c r="U93" s="674"/>
      <c r="V93" s="674"/>
      <c r="W93" s="679"/>
      <c r="X93" s="679"/>
      <c r="Y93" s="674"/>
      <c r="Z93" s="674"/>
      <c r="AA93" s="674"/>
    </row>
    <row r="94" spans="1:27" ht="12.75" customHeight="1" x14ac:dyDescent="0.25">
      <c r="A94" s="148" t="str">
        <f t="shared" si="9"/>
        <v/>
      </c>
      <c r="B94" s="588" t="str">
        <f t="shared" si="10"/>
        <v/>
      </c>
      <c r="C94" s="588" t="str">
        <f>IFERROR(IF(ROUND(IF(totalyrs&gt;1,IF('Salary Detail'!$F$18="X",(IF(F34*(1+$K$15)&gt; MAXSAL,(MAXSAL*G94),(F34*G94*yr2percent*(1+$K$15)))),(F34*G94*yr2percent*(1+$K$15))),0),0)=0,"",ROUND(IF(totalyrs&gt;1,IF('Salary Detail'!$F$18="X",(IF(F34*(1+$K$15)&gt; MAXSAL,(MAXSAL*G94),(F34*G94*yr2percent*(1+$K$15)))),(F34*G94*yr2percent*(1+$K$15))),0),0)),"")</f>
        <v/>
      </c>
      <c r="D94" s="115" t="str">
        <f t="shared" si="20"/>
        <v/>
      </c>
      <c r="E94" s="266" t="str">
        <f t="shared" si="11"/>
        <v/>
      </c>
      <c r="F94" s="116" t="str">
        <f t="shared" si="12"/>
        <v/>
      </c>
      <c r="G94" s="183" t="str">
        <f t="shared" si="13"/>
        <v/>
      </c>
      <c r="H94" s="910" t="str">
        <f t="shared" si="14"/>
        <v/>
      </c>
      <c r="I94" s="911"/>
      <c r="J94" s="321" t="str">
        <f t="shared" si="15"/>
        <v/>
      </c>
      <c r="K94" s="117" t="str">
        <f>IFERROR(IF(ROUND(IF(totalyrs&gt;2,IF('Salary Detail'!$F$18="X",(IF(F34*(1+$K$15)^2&gt; MAXSAL,(MAXSAL*O94),(F34*O94*yr3percent*(1+$K$15)^2))),(F34*O94*yr3percent*(1+$K$15)^2)),0),0)=0,"",ROUND(IF(totalyrs&gt;2,IF('Salary Detail'!$F$18="X",(IF(F34*(1+$K$15)^2&gt; MAXSAL,(MAXSAL*O94),(F34*O94*yr3percent*(1+$K$15)^2))),(F34*O94*yr3percent*(1+$K$15)^2)),0),0)),"")</f>
        <v/>
      </c>
      <c r="L94" s="118" t="str">
        <f t="shared" si="19"/>
        <v/>
      </c>
      <c r="M94" s="266" t="str">
        <f t="shared" si="16"/>
        <v/>
      </c>
      <c r="N94" s="118" t="str">
        <f t="shared" si="17"/>
        <v/>
      </c>
      <c r="O94" s="184" t="str">
        <f t="shared" si="18"/>
        <v/>
      </c>
      <c r="P94" s="687"/>
      <c r="Q94" s="687"/>
      <c r="R94" s="674"/>
      <c r="S94" s="674"/>
      <c r="T94" s="674"/>
      <c r="U94" s="674"/>
      <c r="V94" s="674"/>
      <c r="W94" s="679"/>
      <c r="X94" s="679"/>
      <c r="Y94" s="674"/>
      <c r="Z94" s="674"/>
      <c r="AA94" s="674"/>
    </row>
    <row r="95" spans="1:27" ht="12.75" customHeight="1" x14ac:dyDescent="0.25">
      <c r="A95" s="148" t="str">
        <f t="shared" si="9"/>
        <v/>
      </c>
      <c r="B95" s="588" t="str">
        <f t="shared" si="10"/>
        <v/>
      </c>
      <c r="C95" s="588" t="str">
        <f>IFERROR(IF(ROUND(IF(totalyrs&gt;1,IF('Salary Detail'!$F$18="X",(IF(F35*(1+$K$15)&gt; MAXSAL,(MAXSAL*G95),(F35*G95*yr2percent*(1+$K$15)))),(F35*G95*yr2percent*(1+$K$15))),0),0)=0,"",ROUND(IF(totalyrs&gt;1,IF('Salary Detail'!$F$18="X",(IF(F35*(1+$K$15)&gt; MAXSAL,(MAXSAL*G95),(F35*G95*yr2percent*(1+$K$15)))),(F35*G95*yr2percent*(1+$K$15))),0),0)),"")</f>
        <v/>
      </c>
      <c r="D95" s="115" t="str">
        <f t="shared" si="20"/>
        <v/>
      </c>
      <c r="E95" s="266" t="str">
        <f t="shared" si="11"/>
        <v/>
      </c>
      <c r="F95" s="116" t="str">
        <f t="shared" si="12"/>
        <v/>
      </c>
      <c r="G95" s="183" t="str">
        <f t="shared" si="13"/>
        <v/>
      </c>
      <c r="H95" s="910" t="str">
        <f t="shared" si="14"/>
        <v/>
      </c>
      <c r="I95" s="911"/>
      <c r="J95" s="321" t="str">
        <f t="shared" si="15"/>
        <v/>
      </c>
      <c r="K95" s="117" t="str">
        <f>IFERROR(IF(ROUND(IF(totalyrs&gt;2,IF('Salary Detail'!$F$18="X",(IF(F35*(1+$K$15)^2&gt; MAXSAL,(MAXSAL*O95),(F35*O95*yr3percent*(1+$K$15)^2))),(F35*O95*yr3percent*(1+$K$15)^2)),0),0)=0,"",ROUND(IF(totalyrs&gt;2,IF('Salary Detail'!$F$18="X",(IF(F35*(1+$K$15)^2&gt; MAXSAL,(MAXSAL*O95),(F35*O95*yr3percent*(1+$K$15)^2))),(F35*O95*yr3percent*(1+$K$15)^2)),0),0)),"")</f>
        <v/>
      </c>
      <c r="L95" s="118" t="str">
        <f t="shared" si="19"/>
        <v/>
      </c>
      <c r="M95" s="266" t="str">
        <f t="shared" si="16"/>
        <v/>
      </c>
      <c r="N95" s="118" t="str">
        <f t="shared" si="17"/>
        <v/>
      </c>
      <c r="O95" s="184" t="str">
        <f t="shared" si="18"/>
        <v/>
      </c>
      <c r="P95" s="687"/>
      <c r="Q95" s="687"/>
      <c r="R95" s="674"/>
      <c r="S95" s="674"/>
      <c r="T95" s="674"/>
      <c r="U95" s="674"/>
      <c r="V95" s="674"/>
      <c r="W95" s="679"/>
      <c r="X95" s="679"/>
      <c r="Y95" s="674"/>
      <c r="Z95" s="674"/>
      <c r="AA95" s="674"/>
    </row>
    <row r="96" spans="1:27" ht="12.75" customHeight="1" x14ac:dyDescent="0.25">
      <c r="A96" s="148" t="str">
        <f t="shared" si="9"/>
        <v/>
      </c>
      <c r="B96" s="588" t="str">
        <f t="shared" si="10"/>
        <v/>
      </c>
      <c r="C96" s="588" t="str">
        <f>IFERROR(IF(ROUND(IF(totalyrs&gt;1,IF('Salary Detail'!$F$18="X",(IF(F36*(1+$K$15)&gt; MAXSAL,(MAXSAL*G96),(F36*G96*yr2percent*(1+$K$15)))),(F36*G96*yr2percent*(1+$K$15))),0),0)=0,"",ROUND(IF(totalyrs&gt;1,IF('Salary Detail'!$F$18="X",(IF(F36*(1+$K$15)&gt; MAXSAL,(MAXSAL*G96),(F36*G96*yr2percent*(1+$K$15)))),(F36*G96*yr2percent*(1+$K$15))),0),0)),"")</f>
        <v/>
      </c>
      <c r="D96" s="115" t="str">
        <f t="shared" si="20"/>
        <v/>
      </c>
      <c r="E96" s="266" t="str">
        <f t="shared" si="11"/>
        <v/>
      </c>
      <c r="F96" s="116" t="str">
        <f t="shared" si="12"/>
        <v/>
      </c>
      <c r="G96" s="183" t="str">
        <f t="shared" si="13"/>
        <v/>
      </c>
      <c r="H96" s="910" t="str">
        <f t="shared" si="14"/>
        <v/>
      </c>
      <c r="I96" s="911"/>
      <c r="J96" s="321" t="str">
        <f t="shared" si="15"/>
        <v/>
      </c>
      <c r="K96" s="117" t="str">
        <f>IFERROR(IF(ROUND(IF(totalyrs&gt;2,IF('Salary Detail'!$F$18="X",(IF(F36*(1+$K$15)^2&gt; MAXSAL,(MAXSAL*O96),(F36*O96*yr3percent*(1+$K$15)^2))),(F36*O96*yr3percent*(1+$K$15)^2)),0),0)=0,"",ROUND(IF(totalyrs&gt;2,IF('Salary Detail'!$F$18="X",(IF(F36*(1+$K$15)^2&gt; MAXSAL,(MAXSAL*O96),(F36*O96*yr3percent*(1+$K$15)^2))),(F36*O96*yr3percent*(1+$K$15)^2)),0),0)),"")</f>
        <v/>
      </c>
      <c r="L96" s="118" t="str">
        <f t="shared" si="19"/>
        <v/>
      </c>
      <c r="M96" s="266" t="str">
        <f t="shared" si="16"/>
        <v/>
      </c>
      <c r="N96" s="118" t="str">
        <f t="shared" si="17"/>
        <v/>
      </c>
      <c r="O96" s="184" t="str">
        <f t="shared" si="18"/>
        <v/>
      </c>
      <c r="P96" s="679"/>
      <c r="Q96" s="679"/>
      <c r="R96" s="674"/>
      <c r="S96" s="674"/>
      <c r="T96" s="674"/>
      <c r="U96" s="674"/>
      <c r="V96" s="674"/>
      <c r="W96" s="679"/>
      <c r="X96" s="679"/>
      <c r="Y96" s="674"/>
      <c r="Z96" s="674"/>
      <c r="AA96" s="674"/>
    </row>
    <row r="97" spans="1:27" ht="12.75" customHeight="1" x14ac:dyDescent="0.25">
      <c r="A97" s="148" t="str">
        <f t="shared" si="9"/>
        <v/>
      </c>
      <c r="B97" s="588" t="str">
        <f t="shared" si="10"/>
        <v/>
      </c>
      <c r="C97" s="588" t="str">
        <f>IFERROR(IF(ROUND(IF(totalyrs&gt;1,IF('Salary Detail'!$F$18="X",(IF(F37*(1+$K$15)&gt; MAXSAL,(MAXSAL*G97),(F37*G97*yr2percent*(1+$K$15)))),(F37*G97*yr2percent*(1+$K$15))),0),0)=0,"",ROUND(IF(totalyrs&gt;1,IF('Salary Detail'!$F$18="X",(IF(F37*(1+$K$15)&gt; MAXSAL,(MAXSAL*G97),(F37*G97*yr2percent*(1+$K$15)))),(F37*G97*yr2percent*(1+$K$15))),0),0)),"")</f>
        <v/>
      </c>
      <c r="D97" s="115" t="str">
        <f t="shared" si="20"/>
        <v/>
      </c>
      <c r="E97" s="266" t="str">
        <f t="shared" si="11"/>
        <v/>
      </c>
      <c r="F97" s="116" t="str">
        <f t="shared" si="12"/>
        <v/>
      </c>
      <c r="G97" s="183" t="str">
        <f t="shared" si="13"/>
        <v/>
      </c>
      <c r="H97" s="910" t="str">
        <f t="shared" si="14"/>
        <v/>
      </c>
      <c r="I97" s="911"/>
      <c r="J97" s="321" t="str">
        <f t="shared" si="15"/>
        <v/>
      </c>
      <c r="K97" s="117" t="str">
        <f>IFERROR(IF(ROUND(IF(totalyrs&gt;2,IF('Salary Detail'!$F$18="X",(IF(F37*(1+$K$15)^2&gt; MAXSAL,(MAXSAL*O97),(F37*O97*yr3percent*(1+$K$15)^2))),(F37*O97*yr3percent*(1+$K$15)^2)),0),0)=0,"",ROUND(IF(totalyrs&gt;2,IF('Salary Detail'!$F$18="X",(IF(F37*(1+$K$15)^2&gt; MAXSAL,(MAXSAL*O97),(F37*O97*yr3percent*(1+$K$15)^2))),(F37*O97*yr3percent*(1+$K$15)^2)),0),0)),"")</f>
        <v/>
      </c>
      <c r="L97" s="118" t="str">
        <f t="shared" si="19"/>
        <v/>
      </c>
      <c r="M97" s="266" t="str">
        <f t="shared" si="16"/>
        <v/>
      </c>
      <c r="N97" s="118" t="str">
        <f t="shared" si="17"/>
        <v/>
      </c>
      <c r="O97" s="184" t="str">
        <f t="shared" si="18"/>
        <v/>
      </c>
      <c r="P97" s="679"/>
      <c r="Q97" s="679"/>
      <c r="R97" s="674"/>
      <c r="S97" s="674"/>
      <c r="T97" s="674"/>
      <c r="U97" s="674"/>
      <c r="V97" s="674"/>
      <c r="W97" s="679"/>
      <c r="X97" s="679"/>
      <c r="Y97" s="674"/>
      <c r="Z97" s="674"/>
      <c r="AA97" s="674"/>
    </row>
    <row r="98" spans="1:27" ht="12.75" customHeight="1" x14ac:dyDescent="0.25">
      <c r="A98" s="148" t="str">
        <f t="shared" si="9"/>
        <v/>
      </c>
      <c r="B98" s="588" t="str">
        <f t="shared" si="10"/>
        <v/>
      </c>
      <c r="C98" s="588" t="str">
        <f>IFERROR(IF(ROUND(IF(totalyrs&gt;1,IF('Salary Detail'!$F$18="X",(IF(F38*(1+$K$15)&gt; MAXSAL,(MAXSAL*G98),(F38*G98*yr2percent*(1+$K$15)))),(F38*G98*yr2percent*(1+$K$15))),0),0)=0,"",ROUND(IF(totalyrs&gt;1,IF('Salary Detail'!$F$18="X",(IF(F38*(1+$K$15)&gt; MAXSAL,(MAXSAL*G98),(F38*G98*yr2percent*(1+$K$15)))),(F38*G98*yr2percent*(1+$K$15))),0),0)),"")</f>
        <v/>
      </c>
      <c r="D98" s="115" t="str">
        <f t="shared" si="20"/>
        <v/>
      </c>
      <c r="E98" s="266" t="str">
        <f t="shared" si="11"/>
        <v/>
      </c>
      <c r="F98" s="116" t="str">
        <f t="shared" si="12"/>
        <v/>
      </c>
      <c r="G98" s="183" t="str">
        <f t="shared" si="13"/>
        <v/>
      </c>
      <c r="H98" s="910" t="str">
        <f t="shared" si="14"/>
        <v/>
      </c>
      <c r="I98" s="911"/>
      <c r="J98" s="321" t="str">
        <f t="shared" si="15"/>
        <v/>
      </c>
      <c r="K98" s="117" t="str">
        <f>IFERROR(IF(ROUND(IF(totalyrs&gt;2,IF('Salary Detail'!$F$18="X",(IF(F38*(1+$K$15)^2&gt; MAXSAL,(MAXSAL*O98),(F38*O98*yr3percent*(1+$K$15)^2))),(F38*O98*yr3percent*(1+$K$15)^2)),0),0)=0,"",ROUND(IF(totalyrs&gt;2,IF('Salary Detail'!$F$18="X",(IF(F38*(1+$K$15)^2&gt; MAXSAL,(MAXSAL*O98),(F38*O98*yr3percent*(1+$K$15)^2))),(F38*O98*yr3percent*(1+$K$15)^2)),0),0)),"")</f>
        <v/>
      </c>
      <c r="L98" s="118" t="str">
        <f t="shared" si="19"/>
        <v/>
      </c>
      <c r="M98" s="266" t="str">
        <f t="shared" si="16"/>
        <v/>
      </c>
      <c r="N98" s="118" t="str">
        <f t="shared" si="17"/>
        <v/>
      </c>
      <c r="O98" s="184" t="str">
        <f t="shared" si="18"/>
        <v/>
      </c>
      <c r="P98" s="679"/>
      <c r="Q98" s="679"/>
      <c r="R98" s="674"/>
      <c r="S98" s="674"/>
      <c r="T98" s="674"/>
      <c r="U98" s="674"/>
      <c r="V98" s="674"/>
      <c r="W98" s="679"/>
      <c r="X98" s="679"/>
      <c r="Y98" s="674"/>
      <c r="Z98" s="674"/>
      <c r="AA98" s="674"/>
    </row>
    <row r="99" spans="1:27" ht="12.75" customHeight="1" x14ac:dyDescent="0.25">
      <c r="A99" s="148" t="str">
        <f t="shared" si="9"/>
        <v/>
      </c>
      <c r="B99" s="588" t="str">
        <f t="shared" si="10"/>
        <v/>
      </c>
      <c r="C99" s="588" t="str">
        <f>IFERROR(IF(ROUND(IF(totalyrs&gt;1,IF('Salary Detail'!$F$18="X",(IF(F39*(1+$K$15)&gt; MAXSAL,(MAXSAL*G99),(F39*G99*yr2percent*(1+$K$15)))),(F39*G99*yr2percent*(1+$K$15))),0),0)=0,"",ROUND(IF(totalyrs&gt;1,IF('Salary Detail'!$F$18="X",(IF(F39*(1+$K$15)&gt; MAXSAL,(MAXSAL*G99),(F39*G99*yr2percent*(1+$K$15)))),(F39*G99*yr2percent*(1+$K$15))),0),0)),"")</f>
        <v/>
      </c>
      <c r="D99" s="115" t="str">
        <f t="shared" si="20"/>
        <v/>
      </c>
      <c r="E99" s="266" t="str">
        <f t="shared" si="11"/>
        <v/>
      </c>
      <c r="F99" s="116" t="str">
        <f t="shared" si="12"/>
        <v/>
      </c>
      <c r="G99" s="183" t="str">
        <f t="shared" si="13"/>
        <v/>
      </c>
      <c r="H99" s="910" t="str">
        <f t="shared" si="14"/>
        <v/>
      </c>
      <c r="I99" s="911"/>
      <c r="J99" s="321" t="str">
        <f t="shared" si="15"/>
        <v/>
      </c>
      <c r="K99" s="117" t="str">
        <f>IFERROR(IF(ROUND(IF(totalyrs&gt;2,IF('Salary Detail'!$F$18="X",(IF(F39*(1+$K$15)^2&gt; MAXSAL,(MAXSAL*O99),(F39*O99*yr3percent*(1+$K$15)^2))),(F39*O99*yr3percent*(1+$K$15)^2)),0),0)=0,"",ROUND(IF(totalyrs&gt;2,IF('Salary Detail'!$F$18="X",(IF(F39*(1+$K$15)^2&gt; MAXSAL,(MAXSAL*O99),(F39*O99*yr3percent*(1+$K$15)^2))),(F39*O99*yr3percent*(1+$K$15)^2)),0),0)),"")</f>
        <v/>
      </c>
      <c r="L99" s="118" t="str">
        <f t="shared" si="19"/>
        <v/>
      </c>
      <c r="M99" s="266" t="str">
        <f t="shared" si="16"/>
        <v/>
      </c>
      <c r="N99" s="118" t="str">
        <f t="shared" si="17"/>
        <v/>
      </c>
      <c r="O99" s="184" t="str">
        <f t="shared" si="18"/>
        <v/>
      </c>
      <c r="P99" s="679"/>
      <c r="Q99" s="679"/>
      <c r="R99" s="674"/>
      <c r="S99" s="674"/>
      <c r="T99" s="674"/>
      <c r="U99" s="674"/>
      <c r="V99" s="674"/>
      <c r="W99" s="679"/>
      <c r="X99" s="679"/>
      <c r="Y99" s="674"/>
      <c r="Z99" s="674"/>
      <c r="AA99" s="674"/>
    </row>
    <row r="100" spans="1:27" ht="12.75" customHeight="1" x14ac:dyDescent="0.25">
      <c r="A100" s="148" t="str">
        <f t="shared" si="9"/>
        <v/>
      </c>
      <c r="B100" s="588" t="str">
        <f t="shared" si="10"/>
        <v/>
      </c>
      <c r="C100" s="588" t="str">
        <f>IFERROR(IF(ROUND(IF(totalyrs&gt;1,IF('Salary Detail'!$F$18="X",(IF(F40*(1+$K$15)&gt; MAXSAL,(MAXSAL*G100),(F40*G100*yr2percent*(1+$K$15)))),(F40*G100*yr2percent*(1+$K$15))),0),0)=0,"",ROUND(IF(totalyrs&gt;1,IF('Salary Detail'!$F$18="X",(IF(F40*(1+$K$15)&gt; MAXSAL,(MAXSAL*G100),(F40*G100*yr2percent*(1+$K$15)))),(F40*G100*yr2percent*(1+$K$15))),0),0)),"")</f>
        <v/>
      </c>
      <c r="D100" s="115" t="str">
        <f t="shared" si="20"/>
        <v/>
      </c>
      <c r="E100" s="266" t="str">
        <f t="shared" si="11"/>
        <v/>
      </c>
      <c r="F100" s="116" t="str">
        <f t="shared" si="12"/>
        <v/>
      </c>
      <c r="G100" s="183" t="str">
        <f t="shared" si="13"/>
        <v/>
      </c>
      <c r="H100" s="910" t="str">
        <f t="shared" si="14"/>
        <v/>
      </c>
      <c r="I100" s="911"/>
      <c r="J100" s="321" t="str">
        <f t="shared" si="15"/>
        <v/>
      </c>
      <c r="K100" s="117" t="str">
        <f>IFERROR(IF(ROUND(IF(totalyrs&gt;2,IF('Salary Detail'!$F$18="X",(IF(F40*(1+$K$15)^2&gt; MAXSAL,(MAXSAL*O100),(F40*O100*yr3percent*(1+$K$15)^2))),(F40*O100*yr3percent*(1+$K$15)^2)),0),0)=0,"",ROUND(IF(totalyrs&gt;2,IF('Salary Detail'!$F$18="X",(IF(F40*(1+$K$15)^2&gt; MAXSAL,(MAXSAL*O100),(F40*O100*yr3percent*(1+$K$15)^2))),(F40*O100*yr3percent*(1+$K$15)^2)),0),0)),"")</f>
        <v/>
      </c>
      <c r="L100" s="118" t="str">
        <f t="shared" si="19"/>
        <v/>
      </c>
      <c r="M100" s="266" t="str">
        <f t="shared" si="16"/>
        <v/>
      </c>
      <c r="N100" s="118" t="str">
        <f t="shared" si="17"/>
        <v/>
      </c>
      <c r="O100" s="184" t="str">
        <f t="shared" si="18"/>
        <v/>
      </c>
      <c r="P100" s="679"/>
      <c r="Q100" s="679"/>
      <c r="R100" s="674"/>
      <c r="S100" s="674"/>
      <c r="T100" s="674"/>
      <c r="U100" s="674"/>
      <c r="V100" s="674"/>
      <c r="W100" s="679"/>
      <c r="X100" s="679"/>
      <c r="Y100" s="674"/>
      <c r="Z100" s="674"/>
      <c r="AA100" s="674"/>
    </row>
    <row r="101" spans="1:27" ht="12.75" customHeight="1" x14ac:dyDescent="0.25">
      <c r="A101" s="148" t="str">
        <f t="shared" si="9"/>
        <v/>
      </c>
      <c r="B101" s="588" t="str">
        <f t="shared" si="10"/>
        <v/>
      </c>
      <c r="C101" s="588" t="str">
        <f>IFERROR(IF(ROUND(IF(totalyrs&gt;1,IF('Salary Detail'!$F$18="X",(IF(F41*(1+$K$15)&gt; MAXSAL,(MAXSAL*G101),(F41*G101*yr2percent*(1+$K$15)))),(F41*G101*yr2percent*(1+$K$15))),0),0)=0,"",ROUND(IF(totalyrs&gt;1,IF('Salary Detail'!$F$18="X",(IF(F41*(1+$K$15)&gt; MAXSAL,(MAXSAL*G101),(F41*G101*yr2percent*(1+$K$15)))),(F41*G101*yr2percent*(1+$K$15))),0),0)),"")</f>
        <v/>
      </c>
      <c r="D101" s="115" t="str">
        <f t="shared" si="20"/>
        <v/>
      </c>
      <c r="E101" s="266" t="str">
        <f t="shared" si="11"/>
        <v/>
      </c>
      <c r="F101" s="116" t="str">
        <f t="shared" si="12"/>
        <v/>
      </c>
      <c r="G101" s="183" t="str">
        <f t="shared" si="13"/>
        <v/>
      </c>
      <c r="H101" s="910" t="str">
        <f t="shared" si="14"/>
        <v/>
      </c>
      <c r="I101" s="911"/>
      <c r="J101" s="321" t="str">
        <f t="shared" si="15"/>
        <v/>
      </c>
      <c r="K101" s="117" t="str">
        <f>IFERROR(IF(ROUND(IF(totalyrs&gt;2,IF('Salary Detail'!$F$18="X",(IF(F41*(1+$K$15)^2&gt; MAXSAL,(MAXSAL*O101),(F41*O101*yr3percent*(1+$K$15)^2))),(F41*O101*yr3percent*(1+$K$15)^2)),0),0)=0,"",ROUND(IF(totalyrs&gt;2,IF('Salary Detail'!$F$18="X",(IF(F41*(1+$K$15)^2&gt; MAXSAL,(MAXSAL*O101),(F41*O101*yr3percent*(1+$K$15)^2))),(F41*O101*yr3percent*(1+$K$15)^2)),0),0)),"")</f>
        <v/>
      </c>
      <c r="L101" s="118" t="str">
        <f t="shared" si="19"/>
        <v/>
      </c>
      <c r="M101" s="266" t="str">
        <f t="shared" si="16"/>
        <v/>
      </c>
      <c r="N101" s="118" t="str">
        <f t="shared" si="17"/>
        <v/>
      </c>
      <c r="O101" s="184" t="str">
        <f t="shared" si="18"/>
        <v/>
      </c>
      <c r="P101" s="679"/>
      <c r="Q101" s="679"/>
      <c r="R101" s="674"/>
      <c r="S101" s="674"/>
      <c r="T101" s="674"/>
      <c r="U101" s="674"/>
      <c r="V101" s="674"/>
      <c r="W101" s="679"/>
      <c r="X101" s="679"/>
      <c r="Y101" s="674"/>
      <c r="Z101" s="674"/>
      <c r="AA101" s="674"/>
    </row>
    <row r="102" spans="1:27" ht="12.75" customHeight="1" x14ac:dyDescent="0.25">
      <c r="A102" s="148" t="str">
        <f t="shared" si="9"/>
        <v/>
      </c>
      <c r="B102" s="588" t="str">
        <f t="shared" si="10"/>
        <v/>
      </c>
      <c r="C102" s="588" t="str">
        <f>IFERROR(IF(ROUND(IF(totalyrs&gt;1,IF('Salary Detail'!$F$18="X",(IF(F42*(1+$K$15)&gt; MAXSAL,(MAXSAL*G102),(F42*G102*yr2percent*(1+$K$15)))),(F42*G102*yr2percent*(1+$K$15))),0),0)=0,"",ROUND(IF(totalyrs&gt;1,IF('Salary Detail'!$F$18="X",(IF(F42*(1+$K$15)&gt; MAXSAL,(MAXSAL*G102),(F42*G102*yr2percent*(1+$K$15)))),(F42*G102*yr2percent*(1+$K$15))),0),0)),"")</f>
        <v/>
      </c>
      <c r="D102" s="115" t="str">
        <f t="shared" si="20"/>
        <v/>
      </c>
      <c r="E102" s="266" t="str">
        <f t="shared" si="11"/>
        <v/>
      </c>
      <c r="F102" s="116" t="str">
        <f t="shared" si="12"/>
        <v/>
      </c>
      <c r="G102" s="183" t="str">
        <f t="shared" si="13"/>
        <v/>
      </c>
      <c r="H102" s="910" t="str">
        <f t="shared" si="14"/>
        <v/>
      </c>
      <c r="I102" s="911"/>
      <c r="J102" s="321" t="str">
        <f t="shared" si="15"/>
        <v/>
      </c>
      <c r="K102" s="117" t="str">
        <f>IFERROR(IF(ROUND(IF(totalyrs&gt;2,IF('Salary Detail'!$F$18="X",(IF(F42*(1+$K$15)^2&gt; MAXSAL,(MAXSAL*O102),(F42*O102*yr3percent*(1+$K$15)^2))),(F42*O102*yr3percent*(1+$K$15)^2)),0),0)=0,"",ROUND(IF(totalyrs&gt;2,IF('Salary Detail'!$F$18="X",(IF(F42*(1+$K$15)^2&gt; MAXSAL,(MAXSAL*O102),(F42*O102*yr3percent*(1+$K$15)^2))),(F42*O102*yr3percent*(1+$K$15)^2)),0),0)),"")</f>
        <v/>
      </c>
      <c r="L102" s="118" t="str">
        <f t="shared" si="19"/>
        <v/>
      </c>
      <c r="M102" s="266" t="str">
        <f t="shared" si="16"/>
        <v/>
      </c>
      <c r="N102" s="118" t="str">
        <f t="shared" si="17"/>
        <v/>
      </c>
      <c r="O102" s="184" t="str">
        <f t="shared" si="18"/>
        <v/>
      </c>
      <c r="P102" s="679"/>
      <c r="Q102" s="679"/>
      <c r="R102" s="674"/>
      <c r="S102" s="674"/>
      <c r="T102" s="674"/>
      <c r="U102" s="674"/>
      <c r="V102" s="674"/>
      <c r="W102" s="679"/>
      <c r="X102" s="679"/>
      <c r="Y102" s="674"/>
      <c r="Z102" s="674"/>
      <c r="AA102" s="674"/>
    </row>
    <row r="103" spans="1:27" ht="12.75" customHeight="1" x14ac:dyDescent="0.25">
      <c r="A103" s="148" t="str">
        <f t="shared" si="9"/>
        <v/>
      </c>
      <c r="B103" s="588" t="str">
        <f t="shared" si="10"/>
        <v/>
      </c>
      <c r="C103" s="588" t="str">
        <f>IFERROR(IF(ROUND(IF(totalyrs&gt;1,IF('Salary Detail'!$F$18="X",(IF(F43*(1+$K$15)&gt; MAXSAL,(MAXSAL*G103),(F43*G103*yr2percent*(1+$K$15)))),(F43*G103*yr2percent*(1+$K$15))),0),0)=0,"",ROUND(IF(totalyrs&gt;1,IF('Salary Detail'!$F$18="X",(IF(F43*(1+$K$15)&gt; MAXSAL,(MAXSAL*G103),(F43*G103*yr2percent*(1+$K$15)))),(F43*G103*yr2percent*(1+$K$15))),0),0)),"")</f>
        <v/>
      </c>
      <c r="D103" s="115" t="str">
        <f t="shared" si="20"/>
        <v/>
      </c>
      <c r="E103" s="266" t="str">
        <f t="shared" si="11"/>
        <v/>
      </c>
      <c r="F103" s="116" t="str">
        <f t="shared" si="12"/>
        <v/>
      </c>
      <c r="G103" s="183" t="str">
        <f t="shared" si="13"/>
        <v/>
      </c>
      <c r="H103" s="910" t="str">
        <f t="shared" si="14"/>
        <v/>
      </c>
      <c r="I103" s="911"/>
      <c r="J103" s="321" t="str">
        <f t="shared" si="15"/>
        <v/>
      </c>
      <c r="K103" s="117" t="str">
        <f>IFERROR(IF(ROUND(IF(totalyrs&gt;2,IF('Salary Detail'!$F$18="X",(IF(F43*(1+$K$15)^2&gt; MAXSAL,(MAXSAL*O103),(F43*O103*yr3percent*(1+$K$15)^2))),(F43*O103*yr3percent*(1+$K$15)^2)),0),0)=0,"",ROUND(IF(totalyrs&gt;2,IF('Salary Detail'!$F$18="X",(IF(F43*(1+$K$15)^2&gt; MAXSAL,(MAXSAL*O103),(F43*O103*yr3percent*(1+$K$15)^2))),(F43*O103*yr3percent*(1+$K$15)^2)),0),0)),"")</f>
        <v/>
      </c>
      <c r="L103" s="118" t="str">
        <f t="shared" si="19"/>
        <v/>
      </c>
      <c r="M103" s="266" t="str">
        <f t="shared" si="16"/>
        <v/>
      </c>
      <c r="N103" s="118" t="str">
        <f t="shared" si="17"/>
        <v/>
      </c>
      <c r="O103" s="184" t="str">
        <f t="shared" si="18"/>
        <v/>
      </c>
      <c r="P103" s="679"/>
      <c r="Q103" s="679"/>
      <c r="R103" s="674"/>
      <c r="S103" s="674"/>
      <c r="T103" s="674"/>
      <c r="U103" s="674"/>
      <c r="V103" s="674"/>
      <c r="W103" s="679"/>
      <c r="X103" s="679"/>
      <c r="Y103" s="674"/>
      <c r="Z103" s="674"/>
      <c r="AA103" s="674"/>
    </row>
    <row r="104" spans="1:27" ht="12.75" customHeight="1" x14ac:dyDescent="0.25">
      <c r="A104" s="148" t="str">
        <f t="shared" si="9"/>
        <v/>
      </c>
      <c r="B104" s="588" t="str">
        <f t="shared" si="10"/>
        <v/>
      </c>
      <c r="C104" s="588" t="str">
        <f>IFERROR(IF(ROUND(IF(totalyrs&gt;1,IF('Salary Detail'!$F$18="X",(IF(F44*(1+$K$15)&gt; MAXSAL,(MAXSAL*G104),(F44*G104*yr2percent*(1+$K$15)))),(F44*G104*yr2percent*(1+$K$15))),0),0)=0,"",ROUND(IF(totalyrs&gt;1,IF('Salary Detail'!$F$18="X",(IF(F44*(1+$K$15)&gt; MAXSAL,(MAXSAL*G104),(F44*G104*yr2percent*(1+$K$15)))),(F44*G104*yr2percent*(1+$K$15))),0),0)),"")</f>
        <v/>
      </c>
      <c r="D104" s="115" t="str">
        <f t="shared" si="20"/>
        <v/>
      </c>
      <c r="E104" s="266" t="str">
        <f t="shared" si="11"/>
        <v/>
      </c>
      <c r="F104" s="116" t="str">
        <f t="shared" si="12"/>
        <v/>
      </c>
      <c r="G104" s="183" t="str">
        <f t="shared" si="13"/>
        <v/>
      </c>
      <c r="H104" s="910" t="str">
        <f t="shared" si="14"/>
        <v/>
      </c>
      <c r="I104" s="911"/>
      <c r="J104" s="321" t="str">
        <f t="shared" si="15"/>
        <v/>
      </c>
      <c r="K104" s="117" t="str">
        <f>IFERROR(IF(ROUND(IF(totalyrs&gt;2,IF('Salary Detail'!$F$18="X",(IF(F44*(1+$K$15)^2&gt; MAXSAL,(MAXSAL*O104),(F44*O104*yr3percent*(1+$K$15)^2))),(F44*O104*yr3percent*(1+$K$15)^2)),0),0)=0,"",ROUND(IF(totalyrs&gt;2,IF('Salary Detail'!$F$18="X",(IF(F44*(1+$K$15)^2&gt; MAXSAL,(MAXSAL*O104),(F44*O104*yr3percent*(1+$K$15)^2))),(F44*O104*yr3percent*(1+$K$15)^2)),0),0)),"")</f>
        <v/>
      </c>
      <c r="L104" s="118" t="str">
        <f t="shared" si="19"/>
        <v/>
      </c>
      <c r="M104" s="266" t="str">
        <f t="shared" si="16"/>
        <v/>
      </c>
      <c r="N104" s="118" t="str">
        <f t="shared" si="17"/>
        <v/>
      </c>
      <c r="O104" s="184" t="str">
        <f t="shared" si="18"/>
        <v/>
      </c>
      <c r="P104" s="679"/>
      <c r="Q104" s="679"/>
      <c r="R104" s="674"/>
      <c r="S104" s="674"/>
      <c r="T104" s="674"/>
      <c r="U104" s="674"/>
      <c r="V104" s="674"/>
      <c r="W104" s="679"/>
      <c r="X104" s="679"/>
      <c r="Y104" s="674"/>
      <c r="Z104" s="674"/>
      <c r="AA104" s="674"/>
    </row>
    <row r="105" spans="1:27" ht="12.75" customHeight="1" x14ac:dyDescent="0.25">
      <c r="A105" s="148" t="str">
        <f t="shared" si="9"/>
        <v/>
      </c>
      <c r="B105" s="588" t="str">
        <f t="shared" si="10"/>
        <v/>
      </c>
      <c r="C105" s="588" t="str">
        <f>IFERROR(IF(ROUND(IF(totalyrs&gt;1,IF('Salary Detail'!$F$18="X",(IF(F45*(1+$K$15)&gt; MAXSAL,(MAXSAL*G105),(F45*G105*yr2percent*(1+$K$15)))),(F45*G105*yr2percent*(1+$K$15))),0),0)=0,"",ROUND(IF(totalyrs&gt;1,IF('Salary Detail'!$F$18="X",(IF(F45*(1+$K$15)&gt; MAXSAL,(MAXSAL*G105),(F45*G105*yr2percent*(1+$K$15)))),(F45*G105*yr2percent*(1+$K$15))),0),0)),"")</f>
        <v/>
      </c>
      <c r="D105" s="115" t="str">
        <f t="shared" si="20"/>
        <v/>
      </c>
      <c r="E105" s="266" t="str">
        <f t="shared" si="11"/>
        <v/>
      </c>
      <c r="F105" s="116" t="str">
        <f t="shared" si="12"/>
        <v/>
      </c>
      <c r="G105" s="183" t="str">
        <f t="shared" si="13"/>
        <v/>
      </c>
      <c r="H105" s="910" t="str">
        <f t="shared" si="14"/>
        <v/>
      </c>
      <c r="I105" s="911"/>
      <c r="J105" s="321" t="str">
        <f t="shared" si="15"/>
        <v/>
      </c>
      <c r="K105" s="117" t="str">
        <f>IFERROR(IF(ROUND(IF(totalyrs&gt;2,IF('Salary Detail'!$F$18="X",(IF(F45*(1+$K$15)^2&gt; MAXSAL,(MAXSAL*O105),(F45*O105*yr3percent*(1+$K$15)^2))),(F45*O105*yr3percent*(1+$K$15)^2)),0),0)=0,"",ROUND(IF(totalyrs&gt;2,IF('Salary Detail'!$F$18="X",(IF(F45*(1+$K$15)^2&gt; MAXSAL,(MAXSAL*O105),(F45*O105*yr3percent*(1+$K$15)^2))),(F45*O105*yr3percent*(1+$K$15)^2)),0),0)),"")</f>
        <v/>
      </c>
      <c r="L105" s="118" t="str">
        <f t="shared" si="19"/>
        <v/>
      </c>
      <c r="M105" s="266" t="str">
        <f t="shared" si="16"/>
        <v/>
      </c>
      <c r="N105" s="118" t="str">
        <f t="shared" si="17"/>
        <v/>
      </c>
      <c r="O105" s="184" t="str">
        <f t="shared" si="18"/>
        <v/>
      </c>
      <c r="P105" s="679"/>
      <c r="Q105" s="679"/>
      <c r="R105" s="674"/>
      <c r="S105" s="674"/>
      <c r="T105" s="674"/>
      <c r="U105" s="674"/>
      <c r="V105" s="674"/>
      <c r="W105" s="679"/>
      <c r="X105" s="679"/>
      <c r="Y105" s="674"/>
      <c r="Z105" s="674"/>
      <c r="AA105" s="674"/>
    </row>
    <row r="106" spans="1:27" ht="12.75" customHeight="1" x14ac:dyDescent="0.25">
      <c r="A106" s="148" t="str">
        <f t="shared" si="9"/>
        <v/>
      </c>
      <c r="B106" s="588" t="str">
        <f t="shared" si="10"/>
        <v/>
      </c>
      <c r="C106" s="588" t="str">
        <f>IFERROR(IF(ROUND(IF(totalyrs&gt;1,IF('Salary Detail'!$F$18="X",(IF(F46*(1+$K$15)&gt; MAXSAL,(MAXSAL*G106),(F46*G106*yr2percent*(1+$K$15)))),(F46*G106*yr2percent*(1+$K$15))),0),0)=0,"",ROUND(IF(totalyrs&gt;1,IF('Salary Detail'!$F$18="X",(IF(F46*(1+$K$15)&gt; MAXSAL,(MAXSAL*G106),(F46*G106*yr2percent*(1+$K$15)))),(F46*G106*yr2percent*(1+$K$15))),0),0)),"")</f>
        <v/>
      </c>
      <c r="D106" s="115" t="str">
        <f t="shared" si="20"/>
        <v/>
      </c>
      <c r="E106" s="266" t="str">
        <f t="shared" si="11"/>
        <v/>
      </c>
      <c r="F106" s="116" t="str">
        <f t="shared" si="12"/>
        <v/>
      </c>
      <c r="G106" s="183" t="str">
        <f t="shared" si="13"/>
        <v/>
      </c>
      <c r="H106" s="910" t="str">
        <f t="shared" si="14"/>
        <v/>
      </c>
      <c r="I106" s="911"/>
      <c r="J106" s="321" t="str">
        <f t="shared" si="15"/>
        <v/>
      </c>
      <c r="K106" s="117" t="str">
        <f>IFERROR(IF(ROUND(IF(totalyrs&gt;2,IF('Salary Detail'!$F$18="X",(IF(F46*(1+$K$15)^2&gt; MAXSAL,(MAXSAL*O106),(F46*O106*yr3percent*(1+$K$15)^2))),(F46*O106*yr3percent*(1+$K$15)^2)),0),0)=0,"",ROUND(IF(totalyrs&gt;2,IF('Salary Detail'!$F$18="X",(IF(F46*(1+$K$15)^2&gt; MAXSAL,(MAXSAL*O106),(F46*O106*yr3percent*(1+$K$15)^2))),(F46*O106*yr3percent*(1+$K$15)^2)),0),0)),"")</f>
        <v/>
      </c>
      <c r="L106" s="118" t="str">
        <f t="shared" si="19"/>
        <v/>
      </c>
      <c r="M106" s="266" t="str">
        <f t="shared" si="16"/>
        <v/>
      </c>
      <c r="N106" s="118" t="str">
        <f t="shared" si="17"/>
        <v/>
      </c>
      <c r="O106" s="184" t="str">
        <f t="shared" si="18"/>
        <v/>
      </c>
      <c r="P106" s="679"/>
      <c r="Q106" s="679"/>
      <c r="R106" s="674"/>
      <c r="S106" s="674"/>
      <c r="T106" s="674"/>
      <c r="U106" s="674"/>
      <c r="V106" s="674"/>
      <c r="W106" s="679"/>
      <c r="X106" s="679"/>
      <c r="Y106" s="674"/>
      <c r="Z106" s="674"/>
      <c r="AA106" s="674"/>
    </row>
    <row r="107" spans="1:27" ht="12.75" customHeight="1" x14ac:dyDescent="0.25">
      <c r="A107" s="148" t="str">
        <f t="shared" si="9"/>
        <v/>
      </c>
      <c r="B107" s="588" t="str">
        <f t="shared" si="10"/>
        <v/>
      </c>
      <c r="C107" s="588" t="str">
        <f>IFERROR(IF(ROUND(IF(totalyrs&gt;1,IF('Salary Detail'!$F$18="X",(IF(F47*(1+$K$15)&gt; MAXSAL,(MAXSAL*G107),(F47*G107*yr2percent*(1+$K$15)))),(F47*G107*yr2percent*(1+$K$15))),0),0)=0,"",ROUND(IF(totalyrs&gt;1,IF('Salary Detail'!$F$18="X",(IF(F47*(1+$K$15)&gt; MAXSAL,(MAXSAL*G107),(F47*G107*yr2percent*(1+$K$15)))),(F47*G107*yr2percent*(1+$K$15))),0),0)),"")</f>
        <v/>
      </c>
      <c r="D107" s="115" t="str">
        <f t="shared" si="20"/>
        <v/>
      </c>
      <c r="E107" s="266" t="str">
        <f t="shared" si="11"/>
        <v/>
      </c>
      <c r="F107" s="116" t="str">
        <f t="shared" si="12"/>
        <v/>
      </c>
      <c r="G107" s="183" t="str">
        <f t="shared" si="13"/>
        <v/>
      </c>
      <c r="H107" s="910" t="str">
        <f t="shared" si="14"/>
        <v/>
      </c>
      <c r="I107" s="911"/>
      <c r="J107" s="321" t="str">
        <f t="shared" si="15"/>
        <v/>
      </c>
      <c r="K107" s="117" t="str">
        <f>IFERROR(IF(ROUND(IF(totalyrs&gt;2,IF('Salary Detail'!$F$18="X",(IF(F47*(1+$K$15)^2&gt; MAXSAL,(MAXSAL*O107),(F47*O107*yr3percent*(1+$K$15)^2))),(F47*O107*yr3percent*(1+$K$15)^2)),0),0)=0,"",ROUND(IF(totalyrs&gt;2,IF('Salary Detail'!$F$18="X",(IF(F47*(1+$K$15)^2&gt; MAXSAL,(MAXSAL*O107),(F47*O107*yr3percent*(1+$K$15)^2))),(F47*O107*yr3percent*(1+$K$15)^2)),0),0)),"")</f>
        <v/>
      </c>
      <c r="L107" s="118" t="str">
        <f t="shared" si="19"/>
        <v/>
      </c>
      <c r="M107" s="266" t="str">
        <f t="shared" si="16"/>
        <v/>
      </c>
      <c r="N107" s="118" t="str">
        <f t="shared" si="17"/>
        <v/>
      </c>
      <c r="O107" s="184" t="str">
        <f t="shared" si="18"/>
        <v/>
      </c>
      <c r="P107" s="679"/>
      <c r="Q107" s="679"/>
      <c r="R107" s="674"/>
      <c r="S107" s="674"/>
      <c r="T107" s="674"/>
      <c r="U107" s="674"/>
      <c r="V107" s="674"/>
      <c r="W107" s="679"/>
      <c r="X107" s="679"/>
      <c r="Y107" s="674"/>
      <c r="Z107" s="674"/>
      <c r="AA107" s="674"/>
    </row>
    <row r="108" spans="1:27" ht="12.75" customHeight="1" x14ac:dyDescent="0.25">
      <c r="A108" s="148" t="str">
        <f t="shared" si="9"/>
        <v/>
      </c>
      <c r="B108" s="588" t="str">
        <f t="shared" si="10"/>
        <v/>
      </c>
      <c r="C108" s="588" t="str">
        <f>IFERROR(IF(ROUND(IF(totalyrs&gt;1,IF('Salary Detail'!$F$18="X",(IF(F48*(1+$K$15)&gt; MAXSAL,(MAXSAL*G108),(F48*G108*yr2percent*(1+$K$15)))),(F48*G108*yr2percent*(1+$K$15))),0),0)=0,"",ROUND(IF(totalyrs&gt;1,IF('Salary Detail'!$F$18="X",(IF(F48*(1+$K$15)&gt; MAXSAL,(MAXSAL*G108),(F48*G108*yr2percent*(1+$K$15)))),(F48*G108*yr2percent*(1+$K$15))),0),0)),"")</f>
        <v/>
      </c>
      <c r="D108" s="115" t="str">
        <f t="shared" si="20"/>
        <v/>
      </c>
      <c r="E108" s="266" t="str">
        <f t="shared" si="11"/>
        <v/>
      </c>
      <c r="F108" s="116" t="str">
        <f t="shared" si="12"/>
        <v/>
      </c>
      <c r="G108" s="183" t="str">
        <f t="shared" si="13"/>
        <v/>
      </c>
      <c r="H108" s="910" t="str">
        <f t="shared" si="14"/>
        <v/>
      </c>
      <c r="I108" s="911"/>
      <c r="J108" s="321" t="str">
        <f t="shared" si="15"/>
        <v/>
      </c>
      <c r="K108" s="117" t="str">
        <f>IFERROR(IF(ROUND(IF(totalyrs&gt;2,IF('Salary Detail'!$F$18="X",(IF(F48*(1+$K$15)^2&gt; MAXSAL,(MAXSAL*O108),(F48*O108*yr3percent*(1+$K$15)^2))),(F48*O108*yr3percent*(1+$K$15)^2)),0),0)=0,"",ROUND(IF(totalyrs&gt;2,IF('Salary Detail'!$F$18="X",(IF(F48*(1+$K$15)^2&gt; MAXSAL,(MAXSAL*O108),(F48*O108*yr3percent*(1+$K$15)^2))),(F48*O108*yr3percent*(1+$K$15)^2)),0),0)),"")</f>
        <v/>
      </c>
      <c r="L108" s="118" t="str">
        <f t="shared" si="19"/>
        <v/>
      </c>
      <c r="M108" s="266" t="str">
        <f t="shared" si="16"/>
        <v/>
      </c>
      <c r="N108" s="118" t="str">
        <f t="shared" si="17"/>
        <v/>
      </c>
      <c r="O108" s="184" t="str">
        <f t="shared" si="18"/>
        <v/>
      </c>
      <c r="P108" s="679"/>
      <c r="Q108" s="679"/>
      <c r="R108" s="674"/>
      <c r="S108" s="674"/>
      <c r="T108" s="674"/>
      <c r="U108" s="674"/>
      <c r="V108" s="674"/>
      <c r="W108" s="679"/>
      <c r="X108" s="679"/>
      <c r="Y108" s="674"/>
      <c r="Z108" s="674"/>
      <c r="AA108" s="674"/>
    </row>
    <row r="109" spans="1:27" ht="12.75" customHeight="1" x14ac:dyDescent="0.25">
      <c r="A109" s="148" t="str">
        <f t="shared" si="9"/>
        <v/>
      </c>
      <c r="B109" s="588" t="str">
        <f t="shared" si="10"/>
        <v/>
      </c>
      <c r="C109" s="588" t="str">
        <f>IFERROR(IF(ROUND(IF(totalyrs&gt;1,IF('Salary Detail'!$F$18="X",(IF(F49*(1+$K$15)&gt; MAXSAL,(MAXSAL*G109),(F49*G109*yr2percent*(1+$K$15)))),(F49*G109*yr2percent*(1+$K$15))),0),0)=0,"",ROUND(IF(totalyrs&gt;1,IF('Salary Detail'!$F$18="X",(IF(F49*(1+$K$15)&gt; MAXSAL,(MAXSAL*G109),(F49*G109*yr2percent*(1+$K$15)))),(F49*G109*yr2percent*(1+$K$15))),0),0)),"")</f>
        <v/>
      </c>
      <c r="D109" s="115" t="str">
        <f t="shared" si="20"/>
        <v/>
      </c>
      <c r="E109" s="266" t="str">
        <f t="shared" si="11"/>
        <v/>
      </c>
      <c r="F109" s="116" t="str">
        <f t="shared" si="12"/>
        <v/>
      </c>
      <c r="G109" s="183" t="str">
        <f t="shared" si="13"/>
        <v/>
      </c>
      <c r="H109" s="910" t="str">
        <f t="shared" si="14"/>
        <v/>
      </c>
      <c r="I109" s="911"/>
      <c r="J109" s="321" t="str">
        <f t="shared" si="15"/>
        <v/>
      </c>
      <c r="K109" s="117" t="str">
        <f>IFERROR(IF(ROUND(IF(totalyrs&gt;2,IF('Salary Detail'!$F$18="X",(IF(F49*(1+$K$15)^2&gt; MAXSAL,(MAXSAL*O109),(F49*O109*yr3percent*(1+$K$15)^2))),(F49*O109*yr3percent*(1+$K$15)^2)),0),0)=0,"",ROUND(IF(totalyrs&gt;2,IF('Salary Detail'!$F$18="X",(IF(F49*(1+$K$15)^2&gt; MAXSAL,(MAXSAL*O109),(F49*O109*yr3percent*(1+$K$15)^2))),(F49*O109*yr3percent*(1+$K$15)^2)),0),0)),"")</f>
        <v/>
      </c>
      <c r="L109" s="118" t="str">
        <f t="shared" si="19"/>
        <v/>
      </c>
      <c r="M109" s="266" t="str">
        <f t="shared" si="16"/>
        <v/>
      </c>
      <c r="N109" s="118" t="str">
        <f t="shared" si="17"/>
        <v/>
      </c>
      <c r="O109" s="184" t="str">
        <f t="shared" si="18"/>
        <v/>
      </c>
      <c r="P109" s="679"/>
      <c r="Q109" s="679"/>
      <c r="R109" s="674"/>
      <c r="S109" s="674"/>
      <c r="T109" s="674"/>
      <c r="U109" s="674"/>
      <c r="V109" s="674"/>
      <c r="W109" s="679"/>
      <c r="X109" s="679"/>
      <c r="Y109" s="674"/>
      <c r="Z109" s="674"/>
      <c r="AA109" s="674"/>
    </row>
    <row r="110" spans="1:27" ht="12.75" customHeight="1" x14ac:dyDescent="0.25">
      <c r="A110" s="148" t="str">
        <f t="shared" si="9"/>
        <v/>
      </c>
      <c r="B110" s="588" t="str">
        <f t="shared" si="10"/>
        <v/>
      </c>
      <c r="C110" s="588" t="str">
        <f>IFERROR(IF(ROUND(IF(totalyrs&gt;1,IF('Salary Detail'!$F$18="X",(IF(F50*(1+$K$15)&gt; MAXSAL,(MAXSAL*G110),(F50*G110*yr2percent*(1+$K$15)))),(F50*G110*yr2percent*(1+$K$15))),0),0)=0,"",ROUND(IF(totalyrs&gt;1,IF('Salary Detail'!$F$18="X",(IF(F50*(1+$K$15)&gt; MAXSAL,(MAXSAL*G110),(F50*G110*yr2percent*(1+$K$15)))),(F50*G110*yr2percent*(1+$K$15))),0),0)),"")</f>
        <v/>
      </c>
      <c r="D110" s="115" t="str">
        <f t="shared" si="20"/>
        <v/>
      </c>
      <c r="E110" s="266" t="str">
        <f t="shared" si="11"/>
        <v/>
      </c>
      <c r="F110" s="116" t="str">
        <f t="shared" si="12"/>
        <v/>
      </c>
      <c r="G110" s="183" t="str">
        <f t="shared" si="13"/>
        <v/>
      </c>
      <c r="H110" s="910" t="str">
        <f t="shared" si="14"/>
        <v/>
      </c>
      <c r="I110" s="911"/>
      <c r="J110" s="321" t="str">
        <f t="shared" si="15"/>
        <v/>
      </c>
      <c r="K110" s="117" t="str">
        <f>IFERROR(IF(ROUND(IF(totalyrs&gt;2,IF('Salary Detail'!$F$18="X",(IF(F50*(1+$K$15)^2&gt; MAXSAL,(MAXSAL*O110),(F50*O110*yr3percent*(1+$K$15)^2))),(F50*O110*yr3percent*(1+$K$15)^2)),0),0)=0,"",ROUND(IF(totalyrs&gt;2,IF('Salary Detail'!$F$18="X",(IF(F50*(1+$K$15)^2&gt; MAXSAL,(MAXSAL*O110),(F50*O110*yr3percent*(1+$K$15)^2))),(F50*O110*yr3percent*(1+$K$15)^2)),0),0)),"")</f>
        <v/>
      </c>
      <c r="L110" s="118" t="str">
        <f t="shared" si="19"/>
        <v/>
      </c>
      <c r="M110" s="266" t="str">
        <f t="shared" si="16"/>
        <v/>
      </c>
      <c r="N110" s="118" t="str">
        <f t="shared" si="17"/>
        <v/>
      </c>
      <c r="O110" s="184" t="str">
        <f t="shared" si="18"/>
        <v/>
      </c>
      <c r="P110" s="679"/>
      <c r="Q110" s="679"/>
      <c r="R110" s="674"/>
      <c r="S110" s="674"/>
      <c r="T110" s="674"/>
      <c r="U110" s="674"/>
      <c r="V110" s="674"/>
      <c r="W110" s="679"/>
      <c r="X110" s="679"/>
      <c r="Y110" s="674"/>
      <c r="Z110" s="674"/>
      <c r="AA110" s="674"/>
    </row>
    <row r="111" spans="1:27" ht="12.75" customHeight="1" x14ac:dyDescent="0.25">
      <c r="A111" s="148" t="str">
        <f t="shared" si="9"/>
        <v/>
      </c>
      <c r="B111" s="588" t="str">
        <f t="shared" si="10"/>
        <v/>
      </c>
      <c r="C111" s="588" t="str">
        <f>IFERROR(IF(ROUND(IF(totalyrs&gt;1,IF('Salary Detail'!$F$18="X",(IF(F51*(1+$K$15)&gt; MAXSAL,(MAXSAL*G111),(F51*G111*yr2percent*(1+$K$15)))),(F51*G111*yr2percent*(1+$K$15))),0),0)=0,"",ROUND(IF(totalyrs&gt;1,IF('Salary Detail'!$F$18="X",(IF(F51*(1+$K$15)&gt; MAXSAL,(MAXSAL*G111),(F51*G111*yr2percent*(1+$K$15)))),(F51*G111*yr2percent*(1+$K$15))),0),0)),"")</f>
        <v/>
      </c>
      <c r="D111" s="115" t="str">
        <f t="shared" si="20"/>
        <v/>
      </c>
      <c r="E111" s="266" t="str">
        <f t="shared" si="11"/>
        <v/>
      </c>
      <c r="F111" s="116" t="str">
        <f t="shared" si="12"/>
        <v/>
      </c>
      <c r="G111" s="183" t="str">
        <f t="shared" si="13"/>
        <v/>
      </c>
      <c r="H111" s="910" t="str">
        <f t="shared" si="14"/>
        <v/>
      </c>
      <c r="I111" s="911"/>
      <c r="J111" s="321" t="str">
        <f t="shared" si="15"/>
        <v/>
      </c>
      <c r="K111" s="117" t="str">
        <f>IFERROR(IF(ROUND(IF(totalyrs&gt;2,IF('Salary Detail'!$F$18="X",(IF(F51*(1+$K$15)^2&gt; MAXSAL,(MAXSAL*O111),(F51*O111*yr3percent*(1+$K$15)^2))),(F51*O111*yr3percent*(1+$K$15)^2)),0),0)=0,"",ROUND(IF(totalyrs&gt;2,IF('Salary Detail'!$F$18="X",(IF(F51*(1+$K$15)^2&gt; MAXSAL,(MAXSAL*O111),(F51*O111*yr3percent*(1+$K$15)^2))),(F51*O111*yr3percent*(1+$K$15)^2)),0),0)),"")</f>
        <v/>
      </c>
      <c r="L111" s="118" t="str">
        <f t="shared" si="19"/>
        <v/>
      </c>
      <c r="M111" s="266" t="str">
        <f t="shared" si="16"/>
        <v/>
      </c>
      <c r="N111" s="118" t="str">
        <f t="shared" si="17"/>
        <v/>
      </c>
      <c r="O111" s="184" t="str">
        <f t="shared" si="18"/>
        <v/>
      </c>
      <c r="P111" s="679"/>
      <c r="Q111" s="679"/>
      <c r="R111" s="674"/>
      <c r="S111" s="674"/>
      <c r="T111" s="674"/>
      <c r="U111" s="674"/>
      <c r="V111" s="674"/>
      <c r="W111" s="679"/>
      <c r="X111" s="679"/>
      <c r="Y111" s="674"/>
      <c r="Z111" s="674"/>
      <c r="AA111" s="674"/>
    </row>
    <row r="112" spans="1:27" ht="12.75" customHeight="1" x14ac:dyDescent="0.25">
      <c r="A112" s="148" t="str">
        <f t="shared" si="9"/>
        <v/>
      </c>
      <c r="B112" s="588" t="str">
        <f t="shared" si="10"/>
        <v/>
      </c>
      <c r="C112" s="588" t="str">
        <f>IFERROR(IF(ROUND(IF(totalyrs&gt;1,IF('Salary Detail'!$F$18="X",(IF(F52*(1+$K$15)&gt; MAXSAL,(MAXSAL*G112),(F52*G112*yr2percent*(1+$K$15)))),(F52*G112*yr2percent*(1+$K$15))),0),0)=0,"",ROUND(IF(totalyrs&gt;1,IF('Salary Detail'!$F$18="X",(IF(F52*(1+$K$15)&gt; MAXSAL,(MAXSAL*G112),(F52*G112*yr2percent*(1+$K$15)))),(F52*G112*yr2percent*(1+$K$15))),0),0)),"")</f>
        <v/>
      </c>
      <c r="D112" s="115" t="str">
        <f t="shared" si="20"/>
        <v/>
      </c>
      <c r="E112" s="266" t="str">
        <f t="shared" si="11"/>
        <v/>
      </c>
      <c r="F112" s="116" t="str">
        <f t="shared" si="12"/>
        <v/>
      </c>
      <c r="G112" s="183" t="str">
        <f t="shared" si="13"/>
        <v/>
      </c>
      <c r="H112" s="910" t="str">
        <f t="shared" si="14"/>
        <v/>
      </c>
      <c r="I112" s="911"/>
      <c r="J112" s="321" t="str">
        <f t="shared" si="15"/>
        <v/>
      </c>
      <c r="K112" s="117" t="str">
        <f>IFERROR(IF(ROUND(IF(totalyrs&gt;2,IF('Salary Detail'!$F$18="X",(IF(F52*(1+$K$15)^2&gt; MAXSAL,(MAXSAL*O112),(F52*O112*yr3percent*(1+$K$15)^2))),(F52*O112*yr3percent*(1+$K$15)^2)),0),0)=0,"",ROUND(IF(totalyrs&gt;2,IF('Salary Detail'!$F$18="X",(IF(F52*(1+$K$15)^2&gt; MAXSAL,(MAXSAL*O112),(F52*O112*yr3percent*(1+$K$15)^2))),(F52*O112*yr3percent*(1+$K$15)^2)),0),0)),"")</f>
        <v/>
      </c>
      <c r="L112" s="118" t="str">
        <f t="shared" si="19"/>
        <v/>
      </c>
      <c r="M112" s="266" t="str">
        <f t="shared" si="16"/>
        <v/>
      </c>
      <c r="N112" s="118" t="str">
        <f t="shared" si="17"/>
        <v/>
      </c>
      <c r="O112" s="184" t="str">
        <f t="shared" si="18"/>
        <v/>
      </c>
      <c r="P112" s="679"/>
      <c r="Q112" s="679"/>
      <c r="R112" s="674"/>
      <c r="S112" s="674"/>
      <c r="T112" s="674"/>
      <c r="U112" s="674"/>
      <c r="V112" s="674"/>
      <c r="W112" s="679"/>
      <c r="X112" s="679"/>
      <c r="Y112" s="674"/>
      <c r="Z112" s="674"/>
      <c r="AA112" s="674"/>
    </row>
    <row r="113" spans="1:27" ht="12.75" customHeight="1" x14ac:dyDescent="0.25">
      <c r="A113" s="148" t="str">
        <f t="shared" si="9"/>
        <v/>
      </c>
      <c r="B113" s="588" t="str">
        <f t="shared" si="10"/>
        <v/>
      </c>
      <c r="C113" s="588" t="str">
        <f>IFERROR(IF(ROUND(IF(totalyrs&gt;1,IF('Salary Detail'!$F$18="X",(IF(F53*(1+$K$15)&gt; MAXSAL,(MAXSAL*G113),(F53*G113*yr2percent*(1+$K$15)))),(F53*G113*yr2percent*(1+$K$15))),0),0)=0,"",ROUND(IF(totalyrs&gt;1,IF('Salary Detail'!$F$18="X",(IF(F53*(1+$K$15)&gt; MAXSAL,(MAXSAL*G113),(F53*G113*yr2percent*(1+$K$15)))),(F53*G113*yr2percent*(1+$K$15))),0),0)),"")</f>
        <v/>
      </c>
      <c r="D113" s="115" t="str">
        <f t="shared" si="20"/>
        <v/>
      </c>
      <c r="E113" s="266" t="str">
        <f t="shared" si="11"/>
        <v/>
      </c>
      <c r="F113" s="116" t="str">
        <f t="shared" si="12"/>
        <v/>
      </c>
      <c r="G113" s="183" t="str">
        <f t="shared" si="13"/>
        <v/>
      </c>
      <c r="H113" s="910" t="str">
        <f t="shared" si="14"/>
        <v/>
      </c>
      <c r="I113" s="911"/>
      <c r="J113" s="321" t="str">
        <f t="shared" si="15"/>
        <v/>
      </c>
      <c r="K113" s="117" t="str">
        <f>IFERROR(IF(ROUND(IF(totalyrs&gt;2,IF('Salary Detail'!$F$18="X",(IF(F53*(1+$K$15)^2&gt; MAXSAL,(MAXSAL*O113),(F53*O113*yr3percent*(1+$K$15)^2))),(F53*O113*yr3percent*(1+$K$15)^2)),0),0)=0,"",ROUND(IF(totalyrs&gt;2,IF('Salary Detail'!$F$18="X",(IF(F53*(1+$K$15)^2&gt; MAXSAL,(MAXSAL*O113),(F53*O113*yr3percent*(1+$K$15)^2))),(F53*O113*yr3percent*(1+$K$15)^2)),0),0)),"")</f>
        <v/>
      </c>
      <c r="L113" s="118" t="str">
        <f t="shared" si="19"/>
        <v/>
      </c>
      <c r="M113" s="266" t="str">
        <f t="shared" si="16"/>
        <v/>
      </c>
      <c r="N113" s="118" t="str">
        <f t="shared" si="17"/>
        <v/>
      </c>
      <c r="O113" s="184" t="str">
        <f t="shared" si="18"/>
        <v/>
      </c>
      <c r="P113" s="679"/>
      <c r="Q113" s="679"/>
      <c r="R113" s="674"/>
      <c r="S113" s="674"/>
      <c r="T113" s="674"/>
      <c r="U113" s="674"/>
      <c r="V113" s="674"/>
      <c r="W113" s="679"/>
      <c r="X113" s="679"/>
      <c r="Y113" s="674"/>
      <c r="Z113" s="674"/>
      <c r="AA113" s="674"/>
    </row>
    <row r="114" spans="1:27" ht="12.75" customHeight="1" x14ac:dyDescent="0.25">
      <c r="A114" s="148" t="str">
        <f t="shared" si="9"/>
        <v/>
      </c>
      <c r="B114" s="588" t="str">
        <f t="shared" si="10"/>
        <v/>
      </c>
      <c r="C114" s="588" t="str">
        <f>IFERROR(IF(ROUND(IF(totalyrs&gt;1,IF('Salary Detail'!$F$18="X",(IF(F54*(1+$K$15)&gt; MAXSAL,(MAXSAL*G114),(F54*G114*yr2percent*(1+$K$15)))),(F54*G114*yr2percent*(1+$K$15))),0),0)=0,"",ROUND(IF(totalyrs&gt;1,IF('Salary Detail'!$F$18="X",(IF(F54*(1+$K$15)&gt; MAXSAL,(MAXSAL*G114),(F54*G114*yr2percent*(1+$K$15)))),(F54*G114*yr2percent*(1+$K$15))),0),0)),"")</f>
        <v/>
      </c>
      <c r="D114" s="115" t="str">
        <f t="shared" si="20"/>
        <v/>
      </c>
      <c r="E114" s="266" t="str">
        <f t="shared" si="11"/>
        <v/>
      </c>
      <c r="F114" s="116" t="str">
        <f t="shared" si="12"/>
        <v/>
      </c>
      <c r="G114" s="183" t="str">
        <f t="shared" si="13"/>
        <v/>
      </c>
      <c r="H114" s="910" t="str">
        <f t="shared" si="14"/>
        <v/>
      </c>
      <c r="I114" s="911"/>
      <c r="J114" s="321" t="str">
        <f t="shared" si="15"/>
        <v/>
      </c>
      <c r="K114" s="117" t="str">
        <f>IFERROR(IF(ROUND(IF(totalyrs&gt;2,IF('Salary Detail'!$F$18="X",(IF(F54*(1+$K$15)^2&gt; MAXSAL,(MAXSAL*O114),(F54*O114*yr3percent*(1+$K$15)^2))),(F54*O114*yr3percent*(1+$K$15)^2)),0),0)=0,"",ROUND(IF(totalyrs&gt;2,IF('Salary Detail'!$F$18="X",(IF(F54*(1+$K$15)^2&gt; MAXSAL,(MAXSAL*O114),(F54*O114*yr3percent*(1+$K$15)^2))),(F54*O114*yr3percent*(1+$K$15)^2)),0),0)),"")</f>
        <v/>
      </c>
      <c r="L114" s="118" t="str">
        <f t="shared" si="19"/>
        <v/>
      </c>
      <c r="M114" s="266" t="str">
        <f t="shared" si="16"/>
        <v/>
      </c>
      <c r="N114" s="118" t="str">
        <f t="shared" si="17"/>
        <v/>
      </c>
      <c r="O114" s="184" t="str">
        <f t="shared" si="18"/>
        <v/>
      </c>
      <c r="P114" s="679"/>
      <c r="Q114" s="679"/>
      <c r="R114" s="674"/>
      <c r="S114" s="674"/>
      <c r="T114" s="674"/>
      <c r="U114" s="674"/>
      <c r="V114" s="674"/>
      <c r="W114" s="679"/>
      <c r="X114" s="679"/>
      <c r="Y114" s="674"/>
      <c r="Z114" s="674"/>
      <c r="AA114" s="674"/>
    </row>
    <row r="115" spans="1:27" ht="12.75" customHeight="1" x14ac:dyDescent="0.25">
      <c r="A115" s="148" t="str">
        <f t="shared" si="9"/>
        <v/>
      </c>
      <c r="B115" s="588" t="str">
        <f t="shared" si="10"/>
        <v/>
      </c>
      <c r="C115" s="588" t="str">
        <f>IFERROR(IF(ROUND(IF(totalyrs&gt;1,IF('Salary Detail'!$F$18="X",(IF(F55*(1+$K$15)&gt; MAXSAL,(MAXSAL*G115),(F55*G115*yr2percent*(1+$K$15)))),(F55*G115*yr2percent*(1+$K$15))),0),0)=0,"",ROUND(IF(totalyrs&gt;1,IF('Salary Detail'!$F$18="X",(IF(F55*(1+$K$15)&gt; MAXSAL,(MAXSAL*G115),(F55*G115*yr2percent*(1+$K$15)))),(F55*G115*yr2percent*(1+$K$15))),0),0)),"")</f>
        <v/>
      </c>
      <c r="D115" s="115" t="str">
        <f t="shared" si="20"/>
        <v/>
      </c>
      <c r="E115" s="266" t="str">
        <f t="shared" si="11"/>
        <v/>
      </c>
      <c r="F115" s="116" t="str">
        <f t="shared" si="12"/>
        <v/>
      </c>
      <c r="G115" s="183" t="str">
        <f t="shared" si="13"/>
        <v/>
      </c>
      <c r="H115" s="910" t="str">
        <f t="shared" si="14"/>
        <v/>
      </c>
      <c r="I115" s="911"/>
      <c r="J115" s="321" t="str">
        <f t="shared" si="15"/>
        <v/>
      </c>
      <c r="K115" s="117" t="str">
        <f>IFERROR(IF(ROUND(IF(totalyrs&gt;2,IF('Salary Detail'!$F$18="X",(IF(F55*(1+$K$15)^2&gt; MAXSAL,(MAXSAL*O115),(F55*O115*yr3percent*(1+$K$15)^2))),(F55*O115*yr3percent*(1+$K$15)^2)),0),0)=0,"",ROUND(IF(totalyrs&gt;2,IF('Salary Detail'!$F$18="X",(IF(F55*(1+$K$15)^2&gt; MAXSAL,(MAXSAL*O115),(F55*O115*yr3percent*(1+$K$15)^2))),(F55*O115*yr3percent*(1+$K$15)^2)),0),0)),"")</f>
        <v/>
      </c>
      <c r="L115" s="118" t="str">
        <f t="shared" si="19"/>
        <v/>
      </c>
      <c r="M115" s="266" t="str">
        <f t="shared" si="16"/>
        <v/>
      </c>
      <c r="N115" s="118" t="str">
        <f t="shared" si="17"/>
        <v/>
      </c>
      <c r="O115" s="184" t="str">
        <f t="shared" si="18"/>
        <v/>
      </c>
      <c r="P115" s="679"/>
      <c r="Q115" s="679"/>
      <c r="R115" s="674"/>
      <c r="S115" s="674"/>
      <c r="T115" s="674"/>
      <c r="U115" s="674"/>
      <c r="V115" s="674"/>
      <c r="W115" s="679"/>
      <c r="X115" s="679"/>
      <c r="Y115" s="674"/>
      <c r="Z115" s="674"/>
      <c r="AA115" s="674"/>
    </row>
    <row r="116" spans="1:27" ht="12.75" customHeight="1" x14ac:dyDescent="0.25">
      <c r="A116" s="148" t="str">
        <f t="shared" si="9"/>
        <v/>
      </c>
      <c r="B116" s="588" t="str">
        <f t="shared" si="10"/>
        <v/>
      </c>
      <c r="C116" s="588" t="str">
        <f>IFERROR(IF(ROUND(IF(totalyrs&gt;1,IF('Salary Detail'!$F$18="X",(IF(F56*(1+$K$15)&gt; MAXSAL,(MAXSAL*G116),(F56*G116*yr2percent*(1+$K$15)))),(F56*G116*yr2percent*(1+$K$15))),0),0)=0,"",ROUND(IF(totalyrs&gt;1,IF('Salary Detail'!$F$18="X",(IF(F56*(1+$K$15)&gt; MAXSAL,(MAXSAL*G116),(F56*G116*yr2percent*(1+$K$15)))),(F56*G116*yr2percent*(1+$K$15))),0),0)),"")</f>
        <v/>
      </c>
      <c r="D116" s="115" t="str">
        <f t="shared" si="20"/>
        <v/>
      </c>
      <c r="E116" s="266" t="str">
        <f t="shared" si="11"/>
        <v/>
      </c>
      <c r="F116" s="116" t="str">
        <f t="shared" si="12"/>
        <v/>
      </c>
      <c r="G116" s="183" t="str">
        <f t="shared" si="13"/>
        <v/>
      </c>
      <c r="H116" s="910" t="str">
        <f t="shared" si="14"/>
        <v/>
      </c>
      <c r="I116" s="911"/>
      <c r="J116" s="321" t="str">
        <f t="shared" si="15"/>
        <v/>
      </c>
      <c r="K116" s="117" t="str">
        <f>IFERROR(IF(ROUND(IF(totalyrs&gt;2,IF('Salary Detail'!$F$18="X",(IF(F56*(1+$K$15)^2&gt; MAXSAL,(MAXSAL*O116),(F56*O116*yr3percent*(1+$K$15)^2))),(F56*O116*yr3percent*(1+$K$15)^2)),0),0)=0,"",ROUND(IF(totalyrs&gt;2,IF('Salary Detail'!$F$18="X",(IF(F56*(1+$K$15)^2&gt; MAXSAL,(MAXSAL*O116),(F56*O116*yr3percent*(1+$K$15)^2))),(F56*O116*yr3percent*(1+$K$15)^2)),0),0)),"")</f>
        <v/>
      </c>
      <c r="L116" s="118" t="str">
        <f t="shared" si="19"/>
        <v/>
      </c>
      <c r="M116" s="266" t="str">
        <f t="shared" si="16"/>
        <v/>
      </c>
      <c r="N116" s="118" t="str">
        <f t="shared" si="17"/>
        <v/>
      </c>
      <c r="O116" s="184" t="str">
        <f t="shared" si="18"/>
        <v/>
      </c>
      <c r="P116" s="679"/>
      <c r="Q116" s="679"/>
      <c r="R116" s="674"/>
      <c r="S116" s="674"/>
      <c r="T116" s="674"/>
      <c r="U116" s="674"/>
      <c r="V116" s="674"/>
      <c r="W116" s="679"/>
      <c r="X116" s="679"/>
      <c r="Y116" s="674"/>
      <c r="Z116" s="674"/>
      <c r="AA116" s="674"/>
    </row>
    <row r="117" spans="1:27" ht="12.75" customHeight="1" x14ac:dyDescent="0.25">
      <c r="A117" s="148" t="str">
        <f t="shared" si="9"/>
        <v/>
      </c>
      <c r="B117" s="588" t="str">
        <f t="shared" si="10"/>
        <v/>
      </c>
      <c r="C117" s="588" t="str">
        <f>IFERROR(IF(ROUND(IF(totalyrs&gt;1,IF('Salary Detail'!$F$18="X",(IF(F57*(1+$K$15)&gt; MAXSAL,(MAXSAL*G117),(F57*G117*yr2percent*(1+$K$15)))),(F57*G117*yr2percent*(1+$K$15))),0),0)=0,"",ROUND(IF(totalyrs&gt;1,IF('Salary Detail'!$F$18="X",(IF(F57*(1+$K$15)&gt; MAXSAL,(MAXSAL*G117),(F57*G117*yr2percent*(1+$K$15)))),(F57*G117*yr2percent*(1+$K$15))),0),0)),"")</f>
        <v/>
      </c>
      <c r="D117" s="115" t="str">
        <f t="shared" si="20"/>
        <v/>
      </c>
      <c r="E117" s="266" t="str">
        <f t="shared" si="11"/>
        <v/>
      </c>
      <c r="F117" s="116" t="str">
        <f t="shared" si="12"/>
        <v/>
      </c>
      <c r="G117" s="183" t="str">
        <f t="shared" si="13"/>
        <v/>
      </c>
      <c r="H117" s="910" t="str">
        <f t="shared" si="14"/>
        <v/>
      </c>
      <c r="I117" s="911"/>
      <c r="J117" s="321" t="str">
        <f t="shared" si="15"/>
        <v/>
      </c>
      <c r="K117" s="117" t="str">
        <f>IFERROR(IF(ROUND(IF(totalyrs&gt;2,IF('Salary Detail'!$F$18="X",(IF(F57*(1+$K$15)^2&gt; MAXSAL,(MAXSAL*O117),(F57*O117*yr3percent*(1+$K$15)^2))),(F57*O117*yr3percent*(1+$K$15)^2)),0),0)=0,"",ROUND(IF(totalyrs&gt;2,IF('Salary Detail'!$F$18="X",(IF(F57*(1+$K$15)^2&gt; MAXSAL,(MAXSAL*O117),(F57*O117*yr3percent*(1+$K$15)^2))),(F57*O117*yr3percent*(1+$K$15)^2)),0),0)),"")</f>
        <v/>
      </c>
      <c r="L117" s="118" t="str">
        <f t="shared" si="19"/>
        <v/>
      </c>
      <c r="M117" s="266" t="str">
        <f t="shared" si="16"/>
        <v/>
      </c>
      <c r="N117" s="118" t="str">
        <f t="shared" si="17"/>
        <v/>
      </c>
      <c r="O117" s="184" t="str">
        <f t="shared" si="18"/>
        <v/>
      </c>
      <c r="P117" s="679"/>
      <c r="Q117" s="679"/>
      <c r="R117" s="674"/>
      <c r="S117" s="674"/>
      <c r="T117" s="674"/>
      <c r="U117" s="674"/>
      <c r="V117" s="674"/>
      <c r="W117" s="679"/>
      <c r="X117" s="679"/>
      <c r="Y117" s="674"/>
      <c r="Z117" s="674"/>
      <c r="AA117" s="674"/>
    </row>
    <row r="118" spans="1:27" ht="12.75" customHeight="1" x14ac:dyDescent="0.25">
      <c r="A118" s="148" t="str">
        <f t="shared" si="9"/>
        <v/>
      </c>
      <c r="B118" s="588" t="str">
        <f t="shared" si="10"/>
        <v/>
      </c>
      <c r="C118" s="588" t="str">
        <f>IFERROR(IF(ROUND(IF(totalyrs&gt;1,IF('Salary Detail'!$F$18="X",(IF(F58*(1+$K$15)&gt; MAXSAL,(MAXSAL*G118),(F58*G118*yr2percent*(1+$K$15)))),(F58*G118*yr2percent*(1+$K$15))),0),0)=0,"",ROUND(IF(totalyrs&gt;1,IF('Salary Detail'!$F$18="X",(IF(F58*(1+$K$15)&gt; MAXSAL,(MAXSAL*G118),(F58*G118*yr2percent*(1+$K$15)))),(F58*G118*yr2percent*(1+$K$15))),0),0)),"")</f>
        <v/>
      </c>
      <c r="D118" s="115" t="str">
        <f t="shared" si="20"/>
        <v/>
      </c>
      <c r="E118" s="266" t="str">
        <f t="shared" si="11"/>
        <v/>
      </c>
      <c r="F118" s="116" t="str">
        <f t="shared" si="12"/>
        <v/>
      </c>
      <c r="G118" s="183" t="str">
        <f t="shared" si="13"/>
        <v/>
      </c>
      <c r="H118" s="910" t="str">
        <f t="shared" si="14"/>
        <v/>
      </c>
      <c r="I118" s="911"/>
      <c r="J118" s="321" t="str">
        <f t="shared" si="15"/>
        <v/>
      </c>
      <c r="K118" s="117" t="str">
        <f>IFERROR(IF(ROUND(IF(totalyrs&gt;2,IF('Salary Detail'!$F$18="X",(IF(F58*(1+$K$15)^2&gt; MAXSAL,(MAXSAL*O118),(F58*O118*yr3percent*(1+$K$15)^2))),(F58*O118*yr3percent*(1+$K$15)^2)),0),0)=0,"",ROUND(IF(totalyrs&gt;2,IF('Salary Detail'!$F$18="X",(IF(F58*(1+$K$15)^2&gt; MAXSAL,(MAXSAL*O118),(F58*O118*yr3percent*(1+$K$15)^2))),(F58*O118*yr3percent*(1+$K$15)^2)),0),0)),"")</f>
        <v/>
      </c>
      <c r="L118" s="118" t="str">
        <f t="shared" si="19"/>
        <v/>
      </c>
      <c r="M118" s="266" t="str">
        <f t="shared" si="16"/>
        <v/>
      </c>
      <c r="N118" s="118" t="str">
        <f t="shared" si="17"/>
        <v/>
      </c>
      <c r="O118" s="184" t="str">
        <f t="shared" si="18"/>
        <v/>
      </c>
      <c r="P118" s="679"/>
      <c r="Q118" s="679"/>
      <c r="R118" s="674"/>
      <c r="S118" s="674"/>
      <c r="T118" s="674"/>
      <c r="U118" s="674"/>
      <c r="V118" s="674"/>
      <c r="W118" s="679"/>
      <c r="X118" s="679"/>
      <c r="Y118" s="674"/>
      <c r="Z118" s="674"/>
      <c r="AA118" s="674"/>
    </row>
    <row r="119" spans="1:27" ht="12.75" customHeight="1" x14ac:dyDescent="0.25">
      <c r="A119" s="148" t="str">
        <f t="shared" si="9"/>
        <v/>
      </c>
      <c r="B119" s="588" t="str">
        <f t="shared" si="10"/>
        <v/>
      </c>
      <c r="C119" s="588" t="str">
        <f>IFERROR(IF(ROUND(IF(totalyrs&gt;1,IF('Salary Detail'!$F$18="X",(IF(F59*(1+$K$15)&gt; MAXSAL,(MAXSAL*G119),(F59*G119*yr2percent*(1+$K$15)))),(F59*G119*yr2percent*(1+$K$15))),0),0)=0,"",ROUND(IF(totalyrs&gt;1,IF('Salary Detail'!$F$18="X",(IF(F59*(1+$K$15)&gt; MAXSAL,(MAXSAL*G119),(F59*G119*yr2percent*(1+$K$15)))),(F59*G119*yr2percent*(1+$K$15))),0),0)),"")</f>
        <v/>
      </c>
      <c r="D119" s="115" t="str">
        <f t="shared" si="20"/>
        <v/>
      </c>
      <c r="E119" s="266" t="str">
        <f t="shared" si="11"/>
        <v/>
      </c>
      <c r="F119" s="116" t="str">
        <f t="shared" si="12"/>
        <v/>
      </c>
      <c r="G119" s="183" t="str">
        <f t="shared" si="13"/>
        <v/>
      </c>
      <c r="H119" s="910" t="str">
        <f t="shared" si="14"/>
        <v/>
      </c>
      <c r="I119" s="911"/>
      <c r="J119" s="321" t="str">
        <f t="shared" si="15"/>
        <v/>
      </c>
      <c r="K119" s="117" t="str">
        <f>IFERROR(IF(ROUND(IF(totalyrs&gt;2,IF('Salary Detail'!$F$18="X",(IF(F59*(1+$K$15)^2&gt; MAXSAL,(MAXSAL*O119),(F59*O119*yr3percent*(1+$K$15)^2))),(F59*O119*yr3percent*(1+$K$15)^2)),0),0)=0,"",ROUND(IF(totalyrs&gt;2,IF('Salary Detail'!$F$18="X",(IF(F59*(1+$K$15)^2&gt; MAXSAL,(MAXSAL*O119),(F59*O119*yr3percent*(1+$K$15)^2))),(F59*O119*yr3percent*(1+$K$15)^2)),0),0)),"")</f>
        <v/>
      </c>
      <c r="L119" s="118" t="str">
        <f t="shared" si="19"/>
        <v/>
      </c>
      <c r="M119" s="266" t="str">
        <f t="shared" si="16"/>
        <v/>
      </c>
      <c r="N119" s="118" t="str">
        <f t="shared" si="17"/>
        <v/>
      </c>
      <c r="O119" s="184" t="str">
        <f t="shared" si="18"/>
        <v/>
      </c>
      <c r="P119" s="679"/>
      <c r="Q119" s="679"/>
      <c r="R119" s="674"/>
      <c r="S119" s="674"/>
      <c r="T119" s="674"/>
      <c r="U119" s="674"/>
      <c r="V119" s="674"/>
      <c r="W119" s="679"/>
      <c r="X119" s="679"/>
      <c r="Y119" s="674"/>
      <c r="Z119" s="674"/>
      <c r="AA119" s="674"/>
    </row>
    <row r="120" spans="1:27" ht="12.75" customHeight="1" x14ac:dyDescent="0.25">
      <c r="A120" s="148" t="str">
        <f t="shared" si="9"/>
        <v/>
      </c>
      <c r="B120" s="588" t="str">
        <f t="shared" si="10"/>
        <v/>
      </c>
      <c r="C120" s="588" t="str">
        <f>IFERROR(IF(ROUND(IF(totalyrs&gt;1,IF('Salary Detail'!$F$18="X",(IF(F60*(1+$K$15)&gt; MAXSAL,(MAXSAL*G120),(F60*G120*yr2percent*(1+$K$15)))),(F60*G120*yr2percent*(1+$K$15))),0),0)=0,"",ROUND(IF(totalyrs&gt;1,IF('Salary Detail'!$F$18="X",(IF(F60*(1+$K$15)&gt; MAXSAL,(MAXSAL*G120),(F60*G120*yr2percent*(1+$K$15)))),(F60*G120*yr2percent*(1+$K$15))),0),0)),"")</f>
        <v/>
      </c>
      <c r="D120" s="115" t="str">
        <f t="shared" si="20"/>
        <v/>
      </c>
      <c r="E120" s="266" t="str">
        <f t="shared" si="11"/>
        <v/>
      </c>
      <c r="F120" s="116" t="str">
        <f t="shared" si="12"/>
        <v/>
      </c>
      <c r="G120" s="183" t="str">
        <f t="shared" si="13"/>
        <v/>
      </c>
      <c r="H120" s="910" t="str">
        <f t="shared" si="14"/>
        <v/>
      </c>
      <c r="I120" s="911"/>
      <c r="J120" s="321" t="str">
        <f t="shared" si="15"/>
        <v/>
      </c>
      <c r="K120" s="117" t="str">
        <f>IFERROR(IF(ROUND(IF(totalyrs&gt;2,IF('Salary Detail'!$F$18="X",(IF(F60*(1+$K$15)^2&gt; MAXSAL,(MAXSAL*O120),(F60*O120*yr3percent*(1+$K$15)^2))),(F60*O120*yr3percent*(1+$K$15)^2)),0),0)=0,"",ROUND(IF(totalyrs&gt;2,IF('Salary Detail'!$F$18="X",(IF(F60*(1+$K$15)^2&gt; MAXSAL,(MAXSAL*O120),(F60*O120*yr3percent*(1+$K$15)^2))),(F60*O120*yr3percent*(1+$K$15)^2)),0),0)),"")</f>
        <v/>
      </c>
      <c r="L120" s="118" t="str">
        <f t="shared" si="19"/>
        <v/>
      </c>
      <c r="M120" s="266" t="str">
        <f t="shared" si="16"/>
        <v/>
      </c>
      <c r="N120" s="118" t="str">
        <f t="shared" si="17"/>
        <v/>
      </c>
      <c r="O120" s="184" t="str">
        <f t="shared" si="18"/>
        <v/>
      </c>
      <c r="P120" s="679"/>
      <c r="Q120" s="679"/>
      <c r="R120" s="674"/>
      <c r="S120" s="674"/>
      <c r="T120" s="674"/>
      <c r="U120" s="674"/>
      <c r="V120" s="674"/>
      <c r="W120" s="679"/>
      <c r="X120" s="679"/>
      <c r="Y120" s="674"/>
      <c r="Z120" s="674"/>
      <c r="AA120" s="674"/>
    </row>
    <row r="121" spans="1:27" ht="12.75" customHeight="1" x14ac:dyDescent="0.25">
      <c r="A121" s="148" t="str">
        <f t="shared" si="9"/>
        <v/>
      </c>
      <c r="B121" s="588" t="str">
        <f t="shared" si="10"/>
        <v/>
      </c>
      <c r="C121" s="588" t="str">
        <f>IFERROR(IF(ROUND(IF(totalyrs&gt;1,IF('Salary Detail'!$F$18="X",(IF(F61*(1+$K$15)&gt; MAXSAL,(MAXSAL*G121),(F61*G121*yr2percent*(1+$K$15)))),(F61*G121*yr2percent*(1+$K$15))),0),0)=0,"",ROUND(IF(totalyrs&gt;1,IF('Salary Detail'!$F$18="X",(IF(F61*(1+$K$15)&gt; MAXSAL,(MAXSAL*G121),(F61*G121*yr2percent*(1+$K$15)))),(F61*G121*yr2percent*(1+$K$15))),0),0)),"")</f>
        <v/>
      </c>
      <c r="D121" s="115" t="str">
        <f t="shared" si="20"/>
        <v/>
      </c>
      <c r="E121" s="266" t="str">
        <f t="shared" si="11"/>
        <v/>
      </c>
      <c r="F121" s="116" t="str">
        <f t="shared" si="12"/>
        <v/>
      </c>
      <c r="G121" s="183" t="str">
        <f t="shared" si="13"/>
        <v/>
      </c>
      <c r="H121" s="910" t="str">
        <f t="shared" si="14"/>
        <v/>
      </c>
      <c r="I121" s="911"/>
      <c r="J121" s="321" t="str">
        <f t="shared" si="15"/>
        <v/>
      </c>
      <c r="K121" s="117" t="str">
        <f>IFERROR(IF(ROUND(IF(totalyrs&gt;2,IF('Salary Detail'!$F$18="X",(IF(F61*(1+$K$15)^2&gt; MAXSAL,(MAXSAL*O121),(F61*O121*yr3percent*(1+$K$15)^2))),(F61*O121*yr3percent*(1+$K$15)^2)),0),0)=0,"",ROUND(IF(totalyrs&gt;2,IF('Salary Detail'!$F$18="X",(IF(F61*(1+$K$15)^2&gt; MAXSAL,(MAXSAL*O121),(F61*O121*yr3percent*(1+$K$15)^2))),(F61*O121*yr3percent*(1+$K$15)^2)),0),0)),"")</f>
        <v/>
      </c>
      <c r="L121" s="118" t="str">
        <f t="shared" si="19"/>
        <v/>
      </c>
      <c r="M121" s="266" t="str">
        <f t="shared" si="16"/>
        <v/>
      </c>
      <c r="N121" s="118" t="str">
        <f t="shared" si="17"/>
        <v/>
      </c>
      <c r="O121" s="184" t="str">
        <f t="shared" si="18"/>
        <v/>
      </c>
      <c r="P121" s="679"/>
      <c r="Q121" s="679"/>
      <c r="R121" s="674"/>
      <c r="S121" s="674"/>
      <c r="T121" s="674"/>
      <c r="U121" s="674"/>
      <c r="V121" s="674"/>
      <c r="W121" s="679"/>
      <c r="X121" s="679"/>
      <c r="Y121" s="674"/>
      <c r="Z121" s="674"/>
      <c r="AA121" s="674"/>
    </row>
    <row r="122" spans="1:27" ht="12.75" customHeight="1" x14ac:dyDescent="0.25">
      <c r="A122" s="148" t="str">
        <f t="shared" si="9"/>
        <v/>
      </c>
      <c r="B122" s="588" t="str">
        <f t="shared" si="10"/>
        <v/>
      </c>
      <c r="C122" s="588" t="str">
        <f>IFERROR(IF(ROUND(IF(totalyrs&gt;1,IF('Salary Detail'!$F$18="X",(IF(F62*(1+$K$15)&gt; MAXSAL,(MAXSAL*G122),(F62*G122*yr2percent*(1+$K$15)))),(F62*G122*yr2percent*(1+$K$15))),0),0)=0,"",ROUND(IF(totalyrs&gt;1,IF('Salary Detail'!$F$18="X",(IF(F62*(1+$K$15)&gt; MAXSAL,(MAXSAL*G122),(F62*G122*yr2percent*(1+$K$15)))),(F62*G122*yr2percent*(1+$K$15))),0),0)),"")</f>
        <v/>
      </c>
      <c r="D122" s="115" t="str">
        <f t="shared" si="20"/>
        <v/>
      </c>
      <c r="E122" s="266" t="str">
        <f t="shared" si="11"/>
        <v/>
      </c>
      <c r="F122" s="116" t="str">
        <f t="shared" si="12"/>
        <v/>
      </c>
      <c r="G122" s="183" t="str">
        <f t="shared" si="13"/>
        <v/>
      </c>
      <c r="H122" s="910" t="str">
        <f t="shared" si="14"/>
        <v/>
      </c>
      <c r="I122" s="911"/>
      <c r="J122" s="321" t="str">
        <f t="shared" si="15"/>
        <v/>
      </c>
      <c r="K122" s="117" t="str">
        <f>IFERROR(IF(ROUND(IF(totalyrs&gt;2,IF('Salary Detail'!$F$18="X",(IF(F62*(1+$K$15)^2&gt; MAXSAL,(MAXSAL*O122),(F62*O122*yr3percent*(1+$K$15)^2))),(F62*O122*yr3percent*(1+$K$15)^2)),0),0)=0,"",ROUND(IF(totalyrs&gt;2,IF('Salary Detail'!$F$18="X",(IF(F62*(1+$K$15)^2&gt; MAXSAL,(MAXSAL*O122),(F62*O122*yr3percent*(1+$K$15)^2))),(F62*O122*yr3percent*(1+$K$15)^2)),0),0)),"")</f>
        <v/>
      </c>
      <c r="L122" s="118" t="str">
        <f t="shared" si="19"/>
        <v/>
      </c>
      <c r="M122" s="266" t="str">
        <f t="shared" si="16"/>
        <v/>
      </c>
      <c r="N122" s="118" t="str">
        <f t="shared" si="17"/>
        <v/>
      </c>
      <c r="O122" s="184" t="str">
        <f t="shared" si="18"/>
        <v/>
      </c>
      <c r="P122" s="679"/>
      <c r="Q122" s="679"/>
      <c r="R122" s="674"/>
      <c r="S122" s="674"/>
      <c r="T122" s="674"/>
      <c r="U122" s="674"/>
      <c r="V122" s="674"/>
      <c r="W122" s="679"/>
      <c r="X122" s="679"/>
      <c r="Y122" s="674"/>
      <c r="Z122" s="674"/>
      <c r="AA122" s="674"/>
    </row>
    <row r="123" spans="1:27" s="223" customFormat="1" ht="12.75" customHeight="1" x14ac:dyDescent="0.25">
      <c r="A123" s="215" t="s">
        <v>50</v>
      </c>
      <c r="B123" s="281"/>
      <c r="C123" s="216">
        <f>SUM(C83:C122)</f>
        <v>0</v>
      </c>
      <c r="D123" s="217">
        <f>SUM(D83:D122)</f>
        <v>0</v>
      </c>
      <c r="E123" s="279"/>
      <c r="F123" s="218">
        <f t="shared" ref="F123" si="21">C123+D123</f>
        <v>0</v>
      </c>
      <c r="G123" s="219"/>
      <c r="H123" s="215" t="s">
        <v>50</v>
      </c>
      <c r="I123" s="220"/>
      <c r="J123" s="273"/>
      <c r="K123" s="221">
        <f>SUM(K83:K122)</f>
        <v>0</v>
      </c>
      <c r="L123" s="222">
        <f>SUM(L83:L122)</f>
        <v>0</v>
      </c>
      <c r="M123" s="280"/>
      <c r="N123" s="277">
        <f t="shared" ref="N123" si="22">K123+L123</f>
        <v>0</v>
      </c>
      <c r="O123" s="214"/>
      <c r="P123" s="688"/>
      <c r="Q123" s="688"/>
      <c r="R123" s="688"/>
      <c r="S123" s="689"/>
      <c r="T123" s="690"/>
      <c r="U123" s="690"/>
      <c r="V123" s="690"/>
      <c r="W123" s="690"/>
      <c r="X123" s="690"/>
      <c r="Y123" s="690"/>
      <c r="Z123" s="690"/>
      <c r="AA123" s="690"/>
    </row>
    <row r="124" spans="1:27" ht="12.75" customHeight="1" x14ac:dyDescent="0.25">
      <c r="A124" s="219"/>
      <c r="B124" s="219"/>
      <c r="C124" s="224"/>
      <c r="D124" s="219"/>
      <c r="E124" s="219"/>
      <c r="F124" s="219"/>
      <c r="G124" s="219"/>
      <c r="H124" s="207"/>
      <c r="I124" s="219"/>
      <c r="J124" s="219"/>
      <c r="K124" s="219"/>
      <c r="L124" s="219"/>
      <c r="M124" s="219"/>
      <c r="N124" s="214"/>
      <c r="O124" s="207"/>
      <c r="P124" s="679"/>
      <c r="Q124" s="691"/>
      <c r="R124" s="679"/>
      <c r="S124" s="673"/>
      <c r="T124" s="674"/>
      <c r="U124" s="674"/>
      <c r="V124" s="674"/>
      <c r="W124" s="674"/>
      <c r="X124" s="674"/>
      <c r="Y124" s="674"/>
      <c r="Z124" s="674"/>
      <c r="AA124" s="674"/>
    </row>
    <row r="125" spans="1:27" ht="12.75" customHeight="1" x14ac:dyDescent="0.25">
      <c r="A125" s="219"/>
      <c r="B125" s="219"/>
      <c r="C125" s="224"/>
      <c r="D125" s="219"/>
      <c r="E125" s="219"/>
      <c r="F125" s="219"/>
      <c r="G125" s="219"/>
      <c r="H125" s="207"/>
      <c r="I125" s="219"/>
      <c r="J125" s="219"/>
      <c r="K125" s="219"/>
      <c r="L125" s="219"/>
      <c r="M125" s="219"/>
      <c r="N125" s="214"/>
      <c r="O125" s="207"/>
      <c r="P125" s="679"/>
      <c r="Q125" s="691"/>
      <c r="R125" s="679"/>
      <c r="S125" s="673"/>
      <c r="T125" s="674"/>
      <c r="U125" s="674"/>
      <c r="V125" s="674"/>
      <c r="W125" s="674"/>
      <c r="X125" s="674"/>
      <c r="Y125" s="674"/>
      <c r="Z125" s="674"/>
      <c r="AA125" s="674"/>
    </row>
    <row r="126" spans="1:27" ht="12.75" customHeight="1" x14ac:dyDescent="0.25">
      <c r="A126" s="219"/>
      <c r="B126" s="219"/>
      <c r="C126" s="224"/>
      <c r="D126" s="219"/>
      <c r="E126" s="219"/>
      <c r="F126" s="219"/>
      <c r="G126" s="219"/>
      <c r="H126" s="207"/>
      <c r="I126" s="219"/>
      <c r="J126" s="219"/>
      <c r="K126" s="219"/>
      <c r="L126" s="219"/>
      <c r="M126" s="219"/>
      <c r="N126" s="214"/>
      <c r="O126" s="207"/>
      <c r="P126" s="679"/>
      <c r="Q126" s="691"/>
      <c r="R126" s="679"/>
      <c r="S126" s="673"/>
      <c r="T126" s="674"/>
      <c r="U126" s="674"/>
      <c r="V126" s="674"/>
      <c r="W126" s="674"/>
      <c r="X126" s="674"/>
      <c r="Y126" s="674"/>
      <c r="Z126" s="674"/>
      <c r="AA126" s="674"/>
    </row>
    <row r="127" spans="1:27" ht="12.75" customHeight="1" x14ac:dyDescent="0.25">
      <c r="A127" s="219"/>
      <c r="B127" s="219"/>
      <c r="C127" s="224"/>
      <c r="D127" s="219"/>
      <c r="E127" s="219"/>
      <c r="F127" s="219"/>
      <c r="G127" s="219"/>
      <c r="H127" s="207"/>
      <c r="I127" s="219"/>
      <c r="J127" s="219"/>
      <c r="K127" s="219"/>
      <c r="L127" s="219"/>
      <c r="M127" s="219"/>
      <c r="N127" s="214"/>
      <c r="O127" s="207"/>
      <c r="P127" s="679"/>
      <c r="Q127" s="691"/>
      <c r="R127" s="679"/>
      <c r="S127" s="673"/>
      <c r="T127" s="674"/>
      <c r="U127" s="674"/>
      <c r="V127" s="674"/>
      <c r="W127" s="674"/>
      <c r="X127" s="674"/>
      <c r="Y127" s="674"/>
      <c r="Z127" s="674"/>
      <c r="AA127" s="674"/>
    </row>
    <row r="128" spans="1:27" ht="12.75" customHeight="1" x14ac:dyDescent="0.25">
      <c r="A128" s="219"/>
      <c r="B128" s="219"/>
      <c r="C128" s="224"/>
      <c r="D128" s="219"/>
      <c r="E128" s="219"/>
      <c r="F128" s="219"/>
      <c r="G128" s="219"/>
      <c r="H128" s="207"/>
      <c r="I128" s="219"/>
      <c r="J128" s="219"/>
      <c r="K128" s="219"/>
      <c r="L128" s="219"/>
      <c r="M128" s="219"/>
      <c r="N128" s="214"/>
      <c r="O128" s="207"/>
      <c r="P128" s="679"/>
      <c r="Q128" s="691"/>
      <c r="R128" s="679"/>
      <c r="S128" s="673"/>
      <c r="T128" s="674"/>
      <c r="U128" s="674"/>
      <c r="V128" s="674"/>
      <c r="W128" s="674"/>
      <c r="X128" s="674"/>
      <c r="Y128" s="674"/>
      <c r="Z128" s="674"/>
      <c r="AA128" s="674"/>
    </row>
    <row r="129" spans="1:27" ht="12.75" customHeight="1" x14ac:dyDescent="0.25">
      <c r="A129" s="219"/>
      <c r="B129" s="219"/>
      <c r="C129" s="224"/>
      <c r="D129" s="219"/>
      <c r="E129" s="219"/>
      <c r="F129" s="219"/>
      <c r="G129" s="219"/>
      <c r="H129" s="207"/>
      <c r="I129" s="219"/>
      <c r="J129" s="219"/>
      <c r="K129" s="219"/>
      <c r="L129" s="219"/>
      <c r="M129" s="219"/>
      <c r="N129" s="214"/>
      <c r="O129" s="207"/>
      <c r="P129" s="679"/>
      <c r="Q129" s="691"/>
      <c r="R129" s="679"/>
      <c r="S129" s="673"/>
      <c r="T129" s="674"/>
      <c r="U129" s="674"/>
      <c r="V129" s="674"/>
      <c r="W129" s="674"/>
      <c r="X129" s="674"/>
      <c r="Y129" s="674"/>
      <c r="Z129" s="674"/>
      <c r="AA129" s="674"/>
    </row>
    <row r="130" spans="1:27" ht="12.75" customHeight="1" x14ac:dyDescent="0.25">
      <c r="A130" s="219"/>
      <c r="B130" s="219"/>
      <c r="C130" s="224"/>
      <c r="D130" s="219"/>
      <c r="E130" s="219"/>
      <c r="F130" s="219"/>
      <c r="G130" s="219"/>
      <c r="H130" s="207"/>
      <c r="I130" s="219"/>
      <c r="J130" s="219"/>
      <c r="K130" s="219"/>
      <c r="L130" s="219"/>
      <c r="M130" s="219"/>
      <c r="N130" s="214"/>
      <c r="O130" s="207"/>
      <c r="P130" s="679"/>
      <c r="Q130" s="691"/>
      <c r="R130" s="679"/>
      <c r="S130" s="673"/>
      <c r="T130" s="674"/>
      <c r="U130" s="674"/>
      <c r="V130" s="674"/>
      <c r="W130" s="674"/>
      <c r="X130" s="674"/>
      <c r="Y130" s="674"/>
      <c r="Z130" s="674"/>
      <c r="AA130" s="674"/>
    </row>
    <row r="131" spans="1:27" ht="12.75" customHeight="1" x14ac:dyDescent="0.25">
      <c r="A131" s="219"/>
      <c r="B131" s="219"/>
      <c r="C131" s="224"/>
      <c r="D131" s="219"/>
      <c r="E131" s="219"/>
      <c r="F131" s="219"/>
      <c r="G131" s="219"/>
      <c r="H131" s="207"/>
      <c r="I131" s="219"/>
      <c r="J131" s="219"/>
      <c r="K131" s="219"/>
      <c r="L131" s="219"/>
      <c r="M131" s="219"/>
      <c r="N131" s="214"/>
      <c r="O131" s="207"/>
      <c r="P131" s="679"/>
      <c r="Q131" s="691"/>
      <c r="R131" s="679"/>
      <c r="S131" s="673"/>
      <c r="T131" s="674"/>
      <c r="U131" s="674"/>
      <c r="V131" s="674"/>
      <c r="W131" s="674"/>
      <c r="X131" s="674"/>
      <c r="Y131" s="674"/>
      <c r="Z131" s="674"/>
      <c r="AA131" s="674"/>
    </row>
    <row r="132" spans="1:27" ht="12.75" customHeight="1" x14ac:dyDescent="0.25">
      <c r="A132" s="219"/>
      <c r="B132" s="219"/>
      <c r="C132" s="224"/>
      <c r="D132" s="219"/>
      <c r="E132" s="219"/>
      <c r="F132" s="219"/>
      <c r="G132" s="219"/>
      <c r="H132" s="207"/>
      <c r="I132" s="219"/>
      <c r="J132" s="219"/>
      <c r="K132" s="219"/>
      <c r="L132" s="219"/>
      <c r="M132" s="219"/>
      <c r="N132" s="214"/>
      <c r="O132" s="207"/>
      <c r="P132" s="679"/>
      <c r="Q132" s="691"/>
      <c r="R132" s="679"/>
      <c r="S132" s="673"/>
      <c r="T132" s="674"/>
      <c r="U132" s="674"/>
      <c r="V132" s="674"/>
      <c r="W132" s="674"/>
      <c r="X132" s="674"/>
      <c r="Y132" s="674"/>
      <c r="Z132" s="674"/>
      <c r="AA132" s="674"/>
    </row>
    <row r="133" spans="1:27" ht="12.75" customHeight="1" x14ac:dyDescent="0.25">
      <c r="A133" s="219"/>
      <c r="B133" s="219"/>
      <c r="C133" s="224"/>
      <c r="D133" s="219"/>
      <c r="E133" s="219"/>
      <c r="F133" s="219"/>
      <c r="G133" s="219"/>
      <c r="H133" s="207"/>
      <c r="I133" s="219"/>
      <c r="J133" s="219"/>
      <c r="K133" s="219"/>
      <c r="L133" s="219"/>
      <c r="M133" s="219"/>
      <c r="N133" s="214"/>
      <c r="O133" s="207"/>
      <c r="P133" s="679"/>
      <c r="Q133" s="691"/>
      <c r="R133" s="679"/>
      <c r="S133" s="673"/>
      <c r="T133" s="674"/>
      <c r="U133" s="674"/>
      <c r="V133" s="674"/>
      <c r="W133" s="674"/>
      <c r="X133" s="674"/>
      <c r="Y133" s="674"/>
      <c r="Z133" s="674"/>
      <c r="AA133" s="674"/>
    </row>
    <row r="134" spans="1:27" ht="12.75" customHeight="1" x14ac:dyDescent="0.25">
      <c r="A134" s="219"/>
      <c r="B134" s="219"/>
      <c r="C134" s="224"/>
      <c r="D134" s="219"/>
      <c r="E134" s="219"/>
      <c r="F134" s="219"/>
      <c r="G134" s="219"/>
      <c r="H134" s="207"/>
      <c r="I134" s="219"/>
      <c r="J134" s="219"/>
      <c r="K134" s="219"/>
      <c r="L134" s="219"/>
      <c r="M134" s="219"/>
      <c r="N134" s="214"/>
      <c r="O134" s="207"/>
      <c r="P134" s="679"/>
      <c r="Q134" s="691"/>
      <c r="R134" s="679"/>
      <c r="S134" s="673"/>
      <c r="T134" s="674"/>
      <c r="U134" s="674"/>
      <c r="V134" s="674"/>
      <c r="W134" s="674"/>
      <c r="X134" s="674"/>
      <c r="Y134" s="674"/>
      <c r="Z134" s="674"/>
      <c r="AA134" s="674"/>
    </row>
    <row r="135" spans="1:27" ht="12.75" customHeight="1" x14ac:dyDescent="0.25">
      <c r="A135" s="219"/>
      <c r="B135" s="219"/>
      <c r="C135" s="224"/>
      <c r="D135" s="219"/>
      <c r="E135" s="219"/>
      <c r="F135" s="219"/>
      <c r="G135" s="219"/>
      <c r="H135" s="207"/>
      <c r="I135" s="219"/>
      <c r="J135" s="219"/>
      <c r="K135" s="219"/>
      <c r="L135" s="219"/>
      <c r="M135" s="219"/>
      <c r="N135" s="214"/>
      <c r="O135" s="207"/>
      <c r="P135" s="679"/>
      <c r="Q135" s="691"/>
      <c r="R135" s="679"/>
      <c r="S135" s="673"/>
      <c r="T135" s="674"/>
      <c r="U135" s="674"/>
      <c r="V135" s="674"/>
      <c r="W135" s="674"/>
      <c r="X135" s="674"/>
      <c r="Y135" s="674"/>
      <c r="Z135" s="674"/>
      <c r="AA135" s="674"/>
    </row>
    <row r="136" spans="1:27" ht="12.75" customHeight="1" x14ac:dyDescent="0.25">
      <c r="A136" s="219"/>
      <c r="B136" s="219"/>
      <c r="C136" s="224"/>
      <c r="D136" s="219"/>
      <c r="E136" s="219"/>
      <c r="F136" s="219"/>
      <c r="G136" s="219"/>
      <c r="H136" s="207"/>
      <c r="I136" s="219"/>
      <c r="J136" s="219"/>
      <c r="K136" s="219"/>
      <c r="L136" s="219"/>
      <c r="M136" s="219"/>
      <c r="N136" s="214"/>
      <c r="O136" s="207"/>
      <c r="P136" s="679"/>
      <c r="Q136" s="691"/>
      <c r="R136" s="679"/>
      <c r="S136" s="673"/>
      <c r="T136" s="674"/>
      <c r="U136" s="674"/>
      <c r="V136" s="674"/>
      <c r="W136" s="674"/>
      <c r="X136" s="674"/>
      <c r="Y136" s="674"/>
      <c r="Z136" s="674"/>
      <c r="AA136" s="674"/>
    </row>
    <row r="137" spans="1:27" ht="12.75" customHeight="1" x14ac:dyDescent="0.25">
      <c r="A137" s="219"/>
      <c r="B137" s="219"/>
      <c r="C137" s="224"/>
      <c r="D137" s="219"/>
      <c r="E137" s="219"/>
      <c r="F137" s="219"/>
      <c r="G137" s="219"/>
      <c r="H137" s="207"/>
      <c r="I137" s="219"/>
      <c r="J137" s="219"/>
      <c r="K137" s="219"/>
      <c r="L137" s="219"/>
      <c r="M137" s="219"/>
      <c r="N137" s="214"/>
      <c r="O137" s="207"/>
      <c r="P137" s="679"/>
      <c r="Q137" s="691"/>
      <c r="R137" s="679"/>
      <c r="S137" s="673"/>
      <c r="T137" s="674"/>
      <c r="U137" s="674"/>
      <c r="V137" s="674"/>
      <c r="W137" s="674"/>
      <c r="X137" s="674"/>
      <c r="Y137" s="674"/>
      <c r="Z137" s="674"/>
      <c r="AA137" s="674"/>
    </row>
    <row r="138" spans="1:27" ht="12.75" customHeight="1" x14ac:dyDescent="0.25">
      <c r="A138" s="219"/>
      <c r="B138" s="219"/>
      <c r="C138" s="224"/>
      <c r="D138" s="219"/>
      <c r="E138" s="219"/>
      <c r="F138" s="219"/>
      <c r="G138" s="219"/>
      <c r="H138" s="207"/>
      <c r="I138" s="219"/>
      <c r="J138" s="219"/>
      <c r="K138" s="219"/>
      <c r="L138" s="219"/>
      <c r="M138" s="219"/>
      <c r="N138" s="214"/>
      <c r="O138" s="207"/>
      <c r="P138" s="679"/>
      <c r="Q138" s="691"/>
      <c r="R138" s="679"/>
      <c r="S138" s="673"/>
      <c r="T138" s="674"/>
      <c r="U138" s="674"/>
      <c r="V138" s="674"/>
      <c r="W138" s="674"/>
      <c r="X138" s="674"/>
      <c r="Y138" s="674"/>
      <c r="Z138" s="674"/>
      <c r="AA138" s="674"/>
    </row>
    <row r="139" spans="1:27" ht="12.75" customHeight="1" x14ac:dyDescent="0.25">
      <c r="A139" s="219"/>
      <c r="B139" s="219"/>
      <c r="C139" s="224"/>
      <c r="D139" s="219"/>
      <c r="E139" s="219"/>
      <c r="F139" s="219"/>
      <c r="G139" s="219"/>
      <c r="H139" s="207"/>
      <c r="I139" s="219"/>
      <c r="J139" s="219"/>
      <c r="K139" s="219"/>
      <c r="L139" s="219"/>
      <c r="M139" s="219"/>
      <c r="N139" s="214"/>
      <c r="O139" s="207"/>
      <c r="P139" s="679"/>
      <c r="Q139" s="691"/>
      <c r="R139" s="679"/>
      <c r="S139" s="673"/>
      <c r="T139" s="674"/>
      <c r="U139" s="674"/>
      <c r="V139" s="674"/>
      <c r="W139" s="674"/>
      <c r="X139" s="674"/>
      <c r="Y139" s="674"/>
      <c r="Z139" s="674"/>
      <c r="AA139" s="674"/>
    </row>
    <row r="140" spans="1:27" ht="12.75" customHeight="1" x14ac:dyDescent="0.25">
      <c r="A140" s="219"/>
      <c r="B140" s="219"/>
      <c r="C140" s="224"/>
      <c r="D140" s="219"/>
      <c r="E140" s="219"/>
      <c r="F140" s="219"/>
      <c r="G140" s="219"/>
      <c r="H140" s="207"/>
      <c r="I140" s="219"/>
      <c r="J140" s="219"/>
      <c r="K140" s="219"/>
      <c r="L140" s="219"/>
      <c r="M140" s="219"/>
      <c r="N140" s="214"/>
      <c r="O140" s="207"/>
      <c r="P140" s="679"/>
      <c r="Q140" s="691"/>
      <c r="R140" s="679"/>
      <c r="S140" s="673"/>
      <c r="T140" s="674"/>
      <c r="U140" s="674"/>
      <c r="V140" s="674"/>
      <c r="W140" s="674"/>
      <c r="X140" s="674"/>
      <c r="Y140" s="674"/>
      <c r="Z140" s="674"/>
      <c r="AA140" s="674"/>
    </row>
    <row r="141" spans="1:27" ht="12.75" customHeight="1" x14ac:dyDescent="0.25">
      <c r="A141" s="219"/>
      <c r="B141" s="219"/>
      <c r="C141" s="224"/>
      <c r="D141" s="219"/>
      <c r="E141" s="219"/>
      <c r="F141" s="219"/>
      <c r="G141" s="219"/>
      <c r="H141" s="207"/>
      <c r="I141" s="219"/>
      <c r="J141" s="219"/>
      <c r="K141" s="219"/>
      <c r="L141" s="219"/>
      <c r="M141" s="219"/>
      <c r="N141" s="214"/>
      <c r="O141" s="207"/>
      <c r="P141" s="679"/>
      <c r="Q141" s="691"/>
      <c r="R141" s="679"/>
      <c r="S141" s="673"/>
      <c r="T141" s="674"/>
      <c r="U141" s="674"/>
      <c r="V141" s="674"/>
      <c r="W141" s="674"/>
      <c r="X141" s="674"/>
      <c r="Y141" s="674"/>
      <c r="Z141" s="674"/>
      <c r="AA141" s="674"/>
    </row>
    <row r="142" spans="1:27" ht="12.75" customHeight="1" x14ac:dyDescent="0.25">
      <c r="A142" s="219"/>
      <c r="B142" s="219"/>
      <c r="C142" s="224"/>
      <c r="D142" s="219"/>
      <c r="E142" s="219"/>
      <c r="F142" s="219"/>
      <c r="G142" s="219"/>
      <c r="H142" s="207"/>
      <c r="I142" s="219"/>
      <c r="J142" s="219"/>
      <c r="K142" s="219"/>
      <c r="L142" s="219"/>
      <c r="M142" s="219"/>
      <c r="N142" s="214"/>
      <c r="O142" s="207"/>
      <c r="P142" s="679"/>
      <c r="Q142" s="691"/>
      <c r="R142" s="679"/>
      <c r="S142" s="673"/>
      <c r="T142" s="674"/>
      <c r="U142" s="674"/>
      <c r="V142" s="674"/>
      <c r="W142" s="674"/>
      <c r="X142" s="674"/>
      <c r="Y142" s="674"/>
      <c r="Z142" s="674"/>
      <c r="AA142" s="674"/>
    </row>
    <row r="143" spans="1:27" ht="12.75" customHeight="1" x14ac:dyDescent="0.25">
      <c r="A143" s="219"/>
      <c r="B143" s="219"/>
      <c r="C143" s="224"/>
      <c r="D143" s="219"/>
      <c r="E143" s="219"/>
      <c r="F143" s="219"/>
      <c r="G143" s="219"/>
      <c r="H143" s="207"/>
      <c r="I143" s="219"/>
      <c r="J143" s="219"/>
      <c r="K143" s="219"/>
      <c r="L143" s="219"/>
      <c r="M143" s="219"/>
      <c r="N143" s="211"/>
      <c r="O143" s="207"/>
      <c r="P143" s="679"/>
      <c r="Q143" s="691"/>
      <c r="R143" s="679"/>
      <c r="S143" s="673"/>
      <c r="T143" s="674"/>
      <c r="U143" s="674"/>
      <c r="V143" s="674"/>
      <c r="W143" s="674"/>
      <c r="X143" s="674"/>
      <c r="Y143" s="674"/>
      <c r="Z143" s="674"/>
      <c r="AA143" s="674"/>
    </row>
    <row r="144" spans="1:27" ht="12.75" customHeight="1" x14ac:dyDescent="0.25">
      <c r="A144" s="924" t="s">
        <v>206</v>
      </c>
      <c r="B144" s="924"/>
      <c r="C144" s="925"/>
      <c r="D144" s="925"/>
      <c r="E144" s="925"/>
      <c r="F144" s="925"/>
      <c r="G144" s="925"/>
      <c r="H144" s="925"/>
      <c r="I144" s="925"/>
      <c r="J144" s="925"/>
      <c r="K144" s="925"/>
      <c r="L144" s="925"/>
      <c r="M144" s="925"/>
      <c r="N144" s="925"/>
      <c r="O144" s="207"/>
      <c r="P144" s="679"/>
      <c r="Q144" s="691"/>
      <c r="R144" s="679"/>
      <c r="S144" s="673"/>
      <c r="T144" s="674"/>
      <c r="U144" s="674"/>
      <c r="V144" s="674"/>
      <c r="W144" s="674"/>
      <c r="X144" s="674"/>
      <c r="Y144" s="674"/>
      <c r="Z144" s="674"/>
      <c r="AA144" s="674"/>
    </row>
    <row r="145" spans="1:27" ht="12.75" customHeight="1" x14ac:dyDescent="0.25">
      <c r="A145" s="924" t="s">
        <v>142</v>
      </c>
      <c r="B145" s="924"/>
      <c r="C145" s="925"/>
      <c r="D145" s="925"/>
      <c r="E145" s="925"/>
      <c r="F145" s="925"/>
      <c r="G145" s="925"/>
      <c r="H145" s="925"/>
      <c r="I145" s="925"/>
      <c r="J145" s="925"/>
      <c r="K145" s="925"/>
      <c r="L145" s="925"/>
      <c r="M145" s="925"/>
      <c r="N145" s="925"/>
      <c r="O145" s="207"/>
      <c r="P145" s="679"/>
      <c r="Q145" s="691"/>
      <c r="R145" s="679"/>
      <c r="S145" s="673"/>
      <c r="T145" s="674"/>
      <c r="U145" s="674"/>
      <c r="V145" s="674"/>
      <c r="W145" s="674"/>
      <c r="X145" s="674"/>
      <c r="Y145" s="674"/>
      <c r="Z145" s="674"/>
      <c r="AA145" s="674"/>
    </row>
    <row r="146" spans="1:27" ht="12.75" customHeight="1" x14ac:dyDescent="0.25">
      <c r="A146" s="212"/>
      <c r="B146" s="212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07"/>
      <c r="P146" s="679"/>
      <c r="Q146" s="691"/>
      <c r="R146" s="679"/>
      <c r="S146" s="673"/>
      <c r="T146" s="674"/>
      <c r="U146" s="674"/>
      <c r="V146" s="674"/>
      <c r="W146" s="674"/>
      <c r="X146" s="674"/>
      <c r="Y146" s="674"/>
      <c r="Z146" s="674"/>
      <c r="AA146" s="674"/>
    </row>
    <row r="147" spans="1:27" ht="12.75" customHeight="1" x14ac:dyDescent="0.25">
      <c r="A147" s="207"/>
      <c r="B147" s="207"/>
      <c r="C147" s="208" t="s">
        <v>6</v>
      </c>
      <c r="D147" s="207"/>
      <c r="E147" s="207"/>
      <c r="F147" s="908" t="str">
        <f>D5</f>
        <v/>
      </c>
      <c r="G147" s="908"/>
      <c r="H147" s="908"/>
      <c r="I147" s="908"/>
      <c r="J147" s="908"/>
      <c r="K147" s="908"/>
      <c r="L147" s="207"/>
      <c r="M147" s="207"/>
      <c r="N147" s="207"/>
      <c r="O147" s="207"/>
      <c r="P147" s="679"/>
      <c r="Q147" s="691"/>
      <c r="R147" s="679"/>
      <c r="S147" s="673"/>
      <c r="T147" s="674"/>
      <c r="U147" s="674"/>
      <c r="V147" s="674"/>
      <c r="W147" s="674"/>
      <c r="X147" s="674"/>
      <c r="Y147" s="674"/>
      <c r="Z147" s="674"/>
      <c r="AA147" s="674"/>
    </row>
    <row r="148" spans="1:27" ht="12.75" customHeight="1" x14ac:dyDescent="0.25">
      <c r="A148" s="207"/>
      <c r="B148" s="207"/>
      <c r="C148" s="208" t="s">
        <v>8</v>
      </c>
      <c r="D148" s="207"/>
      <c r="E148" s="207"/>
      <c r="F148" s="909" t="str">
        <f>D6</f>
        <v/>
      </c>
      <c r="G148" s="909"/>
      <c r="H148" s="909"/>
      <c r="I148" s="909"/>
      <c r="J148" s="909"/>
      <c r="K148" s="909"/>
      <c r="L148" s="207"/>
      <c r="M148" s="207"/>
      <c r="N148" s="207"/>
      <c r="O148" s="207"/>
      <c r="P148" s="679"/>
      <c r="Q148" s="691"/>
      <c r="R148" s="679"/>
      <c r="S148" s="673"/>
      <c r="T148" s="674"/>
      <c r="U148" s="674"/>
      <c r="V148" s="674"/>
      <c r="W148" s="674"/>
      <c r="X148" s="674"/>
      <c r="Y148" s="674"/>
      <c r="Z148" s="674"/>
      <c r="AA148" s="674"/>
    </row>
    <row r="149" spans="1:27" ht="12.75" customHeight="1" x14ac:dyDescent="0.25">
      <c r="A149" s="207"/>
      <c r="B149" s="207"/>
      <c r="C149" s="208" t="s">
        <v>122</v>
      </c>
      <c r="D149" s="207"/>
      <c r="E149" s="207"/>
      <c r="F149" s="909" t="str">
        <f>D7</f>
        <v/>
      </c>
      <c r="G149" s="909"/>
      <c r="H149" s="909"/>
      <c r="I149" s="909"/>
      <c r="J149" s="909"/>
      <c r="K149" s="909"/>
      <c r="L149" s="207"/>
      <c r="M149" s="207"/>
      <c r="N149" s="207"/>
      <c r="O149" s="207"/>
      <c r="P149" s="679"/>
      <c r="Q149" s="691"/>
      <c r="R149" s="679"/>
      <c r="S149" s="673"/>
      <c r="T149" s="674"/>
      <c r="U149" s="674"/>
      <c r="V149" s="674"/>
      <c r="W149" s="674"/>
      <c r="X149" s="674"/>
      <c r="Y149" s="674"/>
      <c r="Z149" s="674"/>
      <c r="AA149" s="674"/>
    </row>
    <row r="150" spans="1:27" ht="12.75" customHeight="1" x14ac:dyDescent="0.25">
      <c r="A150" s="207"/>
      <c r="B150" s="207"/>
      <c r="C150" s="208" t="s">
        <v>10</v>
      </c>
      <c r="D150" s="207"/>
      <c r="E150" s="207"/>
      <c r="F150" s="909" t="str">
        <f>D8</f>
        <v/>
      </c>
      <c r="G150" s="909"/>
      <c r="H150" s="909"/>
      <c r="I150" s="909"/>
      <c r="J150" s="909"/>
      <c r="K150" s="909"/>
      <c r="L150" s="207"/>
      <c r="M150" s="207"/>
      <c r="N150" s="207"/>
      <c r="O150" s="207"/>
      <c r="P150" s="679"/>
      <c r="Q150" s="679"/>
      <c r="R150" s="679"/>
      <c r="S150" s="673"/>
      <c r="T150" s="674"/>
      <c r="U150" s="674"/>
      <c r="V150" s="674"/>
      <c r="W150" s="674"/>
      <c r="X150" s="674"/>
      <c r="Y150" s="674"/>
      <c r="Z150" s="674"/>
      <c r="AA150" s="674"/>
    </row>
    <row r="151" spans="1:27" ht="12.75" customHeight="1" x14ac:dyDescent="0.25">
      <c r="A151" s="207"/>
      <c r="B151" s="207"/>
      <c r="C151" s="208"/>
      <c r="D151" s="207"/>
      <c r="E151" s="207"/>
      <c r="F151" s="225"/>
      <c r="G151" s="225"/>
      <c r="H151" s="219"/>
      <c r="I151" s="209"/>
      <c r="J151" s="209"/>
      <c r="K151" s="219"/>
      <c r="L151" s="219"/>
      <c r="M151" s="219"/>
      <c r="N151" s="207"/>
      <c r="O151" s="214"/>
      <c r="P151" s="679"/>
      <c r="Q151" s="679"/>
      <c r="R151" s="679"/>
      <c r="S151" s="673"/>
      <c r="T151" s="674"/>
      <c r="U151" s="674"/>
      <c r="V151" s="674"/>
      <c r="W151" s="674"/>
      <c r="X151" s="674"/>
      <c r="Y151" s="674"/>
      <c r="Z151" s="674"/>
      <c r="AA151" s="674"/>
    </row>
    <row r="152" spans="1:27" ht="12.75" customHeight="1" x14ac:dyDescent="0.25">
      <c r="A152" s="100"/>
      <c r="B152" s="256" t="s">
        <v>209</v>
      </c>
      <c r="C152" s="830" t="s">
        <v>52</v>
      </c>
      <c r="D152" s="832"/>
      <c r="E152" s="832"/>
      <c r="F152" s="926"/>
      <c r="G152" s="101" t="s">
        <v>109</v>
      </c>
      <c r="H152" s="927"/>
      <c r="I152" s="928"/>
      <c r="J152" s="256" t="s">
        <v>209</v>
      </c>
      <c r="K152" s="102" t="s">
        <v>53</v>
      </c>
      <c r="L152" s="103"/>
      <c r="M152" s="103"/>
      <c r="N152" s="104"/>
      <c r="O152" s="84" t="s">
        <v>109</v>
      </c>
      <c r="P152" s="680" t="s">
        <v>51</v>
      </c>
      <c r="Q152" s="679"/>
      <c r="R152" s="679"/>
      <c r="S152" s="673"/>
      <c r="T152" s="674"/>
      <c r="U152" s="674"/>
      <c r="V152" s="674"/>
      <c r="W152" s="674"/>
      <c r="X152" s="674"/>
      <c r="Y152" s="674"/>
      <c r="Z152" s="674"/>
      <c r="AA152" s="674"/>
    </row>
    <row r="153" spans="1:27" ht="12.75" customHeight="1" x14ac:dyDescent="0.25">
      <c r="A153" s="105"/>
      <c r="B153" s="108" t="s">
        <v>211</v>
      </c>
      <c r="C153" s="106" t="s">
        <v>22</v>
      </c>
      <c r="D153" s="80"/>
      <c r="E153" s="80" t="s">
        <v>228</v>
      </c>
      <c r="F153" s="107"/>
      <c r="G153" s="80" t="s">
        <v>110</v>
      </c>
      <c r="H153" s="929"/>
      <c r="I153" s="930"/>
      <c r="J153" s="108" t="s">
        <v>211</v>
      </c>
      <c r="K153" s="108" t="str">
        <f>C153</f>
        <v>Salaries</v>
      </c>
      <c r="L153" s="80"/>
      <c r="M153" s="80" t="s">
        <v>228</v>
      </c>
      <c r="N153" s="107"/>
      <c r="O153" s="80" t="s">
        <v>110</v>
      </c>
      <c r="P153" s="681" t="str">
        <f>$P$80</f>
        <v>Year or</v>
      </c>
      <c r="Q153" s="679"/>
      <c r="R153" s="679"/>
      <c r="S153" s="673"/>
      <c r="T153" s="674"/>
      <c r="U153" s="674"/>
      <c r="V153" s="674"/>
      <c r="W153" s="674"/>
      <c r="X153" s="674"/>
      <c r="Y153" s="674"/>
      <c r="Z153" s="674"/>
      <c r="AA153" s="674"/>
    </row>
    <row r="154" spans="1:27" ht="12.75" customHeight="1" x14ac:dyDescent="0.25">
      <c r="A154" s="109" t="s">
        <v>32</v>
      </c>
      <c r="B154" s="109" t="s">
        <v>224</v>
      </c>
      <c r="C154" s="110" t="s">
        <v>34</v>
      </c>
      <c r="D154" s="111" t="s">
        <v>30</v>
      </c>
      <c r="E154" s="111" t="s">
        <v>229</v>
      </c>
      <c r="F154" s="112" t="s">
        <v>46</v>
      </c>
      <c r="G154" s="113" t="s">
        <v>33</v>
      </c>
      <c r="H154" s="929" t="s">
        <v>32</v>
      </c>
      <c r="I154" s="930"/>
      <c r="J154" s="109" t="s">
        <v>224</v>
      </c>
      <c r="K154" s="129" t="str">
        <f>C154</f>
        <v>Requested</v>
      </c>
      <c r="L154" s="111" t="str">
        <f>D154</f>
        <v>Benefits</v>
      </c>
      <c r="M154" s="111" t="s">
        <v>229</v>
      </c>
      <c r="N154" s="112" t="str">
        <f>F154</f>
        <v>Totals</v>
      </c>
      <c r="O154" s="113" t="s">
        <v>33</v>
      </c>
      <c r="P154" s="682" t="str">
        <f>$P$81</f>
        <v>Portion of</v>
      </c>
      <c r="Q154" s="679"/>
      <c r="R154" s="679"/>
      <c r="S154" s="673"/>
      <c r="T154" s="674"/>
      <c r="U154" s="674"/>
      <c r="V154" s="674"/>
      <c r="W154" s="674"/>
      <c r="X154" s="674"/>
      <c r="Y154" s="674"/>
      <c r="Z154" s="674"/>
      <c r="AA154" s="674"/>
    </row>
    <row r="155" spans="1:27" ht="12.75" customHeight="1" x14ac:dyDescent="0.25">
      <c r="A155" s="114" t="str">
        <f t="shared" ref="A155:A194" si="23">IF(A23=0,"",A23)</f>
        <v/>
      </c>
      <c r="B155" s="130" t="str">
        <f t="shared" ref="B155:B194" si="24">IFERROR(IF(ROUND(IF(totalyrs&gt;3,((F23*(1+$K$15)^3)),0),0)=0,"",ROUND(IF(totalyrs&gt;3,((F23*(1+$K$15)^3)),0),0)),"")</f>
        <v/>
      </c>
      <c r="C155" s="130" t="str">
        <f>IFERROR(IF(ROUND(IF(totalyrs&gt;3,IF('Salary Detail'!$F$18="X",(IF(F23*(1+$K$15)^3&gt; MAXSAL,(MAXSAL*G155),(F23*G155*yr4percent*(1+$K$15)^3))),(F23*G155*yr4percent*(1+$K$15)^3)),0),0)=0,"",ROUND(IF(totalyrs&gt;3,IF('Salary Detail'!$F$18="X",(IF(F23*(1+$K$15)^3&gt; MAXSAL,(MAXSAL*G155),(F23*G155*yr4percent*(1+$K$15)^3))),(F23*G155*yr4percent*(1+$K$15)^3)),0),0)),"")</f>
        <v/>
      </c>
      <c r="D155" s="115" t="str">
        <f>IFERROR(IF(C155*0.26=0,"",C155*0.35),"")</f>
        <v/>
      </c>
      <c r="E155" s="266" t="str">
        <f t="shared" ref="E155:E194" si="25">IFERROR(IF(SUM(G155*12)=0,"",SUM(G155*12)),"")</f>
        <v/>
      </c>
      <c r="F155" s="116" t="str">
        <f t="shared" ref="F155:F194" si="26">IFERROR(IF(C155+D155=0,"",C155+D155),"")</f>
        <v/>
      </c>
      <c r="G155" s="183" t="str">
        <f t="shared" ref="G155:G194" si="27">IF(IF(totalyrs&gt;3,(O83),0)=0,"",IF(totalyrs&gt;3,(O83),0))</f>
        <v/>
      </c>
      <c r="H155" s="910" t="str">
        <f t="shared" ref="H155:H194" si="28">IF(A23=0,"",A23)</f>
        <v/>
      </c>
      <c r="I155" s="939"/>
      <c r="J155" s="271" t="str">
        <f t="shared" ref="J155:J194" si="29">IFERROR(IF(ROUND(IF(totalyrs&gt;4,((F23*(1+$K$15)^4)),0),0)=0,"",ROUND(IF(totalyrs&gt;4,((F23*(1+$K$15)^4)),0),0)),"")</f>
        <v/>
      </c>
      <c r="K155" s="131" t="str">
        <f>IFERROR(IF(ROUND(IF(totalyrs&gt;4,IF('Salary Detail'!$F$18="X",(IF(F23*(1+$K$15)^4&gt; MAXSAL,(MAXSAL*O155),(F23*O155*yr5percent*(1+$K$15)^4))),(F23*O155*yr5percent*(1+$K$15)^4)),0),0)=0,"",ROUND(IF(totalyrs&gt;4,IF('Salary Detail'!$F$18="X",(IF(F23*(1+$K$15)^4&gt; MAXSAL,(MAXSAL*O155),(F23*O155*yr5percent*(1+$K$15)^4))),(F23*O155*yr5percent*(1+$K$15)^4)),0),0)),"")</f>
        <v/>
      </c>
      <c r="L155" s="115" t="str">
        <f>IFERROR(IF(K155*0.26=0,"",K155*0.35),"")</f>
        <v/>
      </c>
      <c r="M155" s="266" t="str">
        <f t="shared" ref="M155:M194" si="30">IFERROR(IF(SUM(O155*12)=0,"",SUM(O155*12)),"")</f>
        <v/>
      </c>
      <c r="N155" s="118" t="str">
        <f t="shared" ref="N155:N194" si="31">IFERROR(IF(K155+L155=0,"",K155+L155),"")</f>
        <v/>
      </c>
      <c r="O155" s="185" t="str">
        <f t="shared" ref="O155:O194" si="32">IF(IF(totalyrs&gt;4,(G155),0)=0,"",IF(totalyrs&gt;4,(G155),0))</f>
        <v/>
      </c>
      <c r="P155" s="682" t="str">
        <f>$P$82</f>
        <v>a Year</v>
      </c>
      <c r="Q155" s="679"/>
      <c r="R155" s="674"/>
      <c r="S155" s="674"/>
      <c r="T155" s="674"/>
      <c r="U155" s="674"/>
      <c r="V155" s="674"/>
      <c r="W155" s="679"/>
      <c r="X155" s="679"/>
      <c r="Y155" s="674"/>
      <c r="Z155" s="674"/>
      <c r="AA155" s="674"/>
    </row>
    <row r="156" spans="1:27" ht="12.75" customHeight="1" x14ac:dyDescent="0.25">
      <c r="A156" s="114" t="str">
        <f t="shared" si="23"/>
        <v/>
      </c>
      <c r="B156" s="130" t="str">
        <f t="shared" si="24"/>
        <v/>
      </c>
      <c r="C156" s="130" t="str">
        <f>IFERROR(IF(ROUND(IF(totalyrs&gt;3,IF('Salary Detail'!$F$18="X",(IF(F24*(1+$K$15)^3&gt; MAXSAL,(MAXSAL*G156),(F24*G156*yr4percent*(1+$K$15)^3))),(F24*G156*yr4percent*(1+$K$15)^3)),0),0)=0,"",ROUND(IF(totalyrs&gt;3,IF('Salary Detail'!$F$18="X",(IF(F24*(1+$K$15)^3&gt; MAXSAL,(MAXSAL*G156),(F24*G156*yr4percent*(1+$K$15)^3))),(F24*G156*yr4percent*(1+$K$15)^3)),0),0)),"")</f>
        <v/>
      </c>
      <c r="D156" s="115" t="str">
        <f t="shared" ref="D156:D194" si="33">IFERROR(IF(C156*0.26=0,"",C156*0.35),"")</f>
        <v/>
      </c>
      <c r="E156" s="266" t="str">
        <f t="shared" si="25"/>
        <v/>
      </c>
      <c r="F156" s="116" t="str">
        <f t="shared" si="26"/>
        <v/>
      </c>
      <c r="G156" s="183" t="str">
        <f t="shared" si="27"/>
        <v/>
      </c>
      <c r="H156" s="910" t="str">
        <f t="shared" si="28"/>
        <v/>
      </c>
      <c r="I156" s="939"/>
      <c r="J156" s="271" t="str">
        <f t="shared" si="29"/>
        <v/>
      </c>
      <c r="K156" s="131" t="str">
        <f>IFERROR(IF(ROUND(IF(totalyrs&gt;4,IF('Salary Detail'!$F$18="X",(IF(F24*(1+$K$15)^4&gt; MAXSAL,(MAXSAL*O156),(F24*O156*yr5percent*(1+$K$15)^4))),(F24*O156*yr5percent*(1+$K$15)^4)),0),0)=0,"",ROUND(IF(totalyrs&gt;4,IF('Salary Detail'!$F$18="X",(IF(F24*(1+$K$15)^4&gt; MAXSAL,(MAXSAL*O156),(F24*O156*yr5percent*(1+$K$15)^4))),(F24*O156*yr5percent*(1+$K$15)^4)),0),0)),"")</f>
        <v/>
      </c>
      <c r="L156" s="115" t="str">
        <f t="shared" ref="L156:L194" si="34">IFERROR(IF(K156*0.26=0,"",K156*0.35),"")</f>
        <v/>
      </c>
      <c r="M156" s="266" t="str">
        <f t="shared" si="30"/>
        <v/>
      </c>
      <c r="N156" s="118" t="str">
        <f t="shared" si="31"/>
        <v/>
      </c>
      <c r="O156" s="185" t="str">
        <f t="shared" si="32"/>
        <v/>
      </c>
      <c r="P156" s="683">
        <f>IF(AND(totalyrs&gt;3,totalyrs&lt;4),totalyrs-3,1)</f>
        <v>1</v>
      </c>
      <c r="Q156" s="692" t="s">
        <v>54</v>
      </c>
      <c r="R156" s="674"/>
      <c r="S156" s="674"/>
      <c r="T156" s="674"/>
      <c r="U156" s="674"/>
      <c r="V156" s="674"/>
      <c r="W156" s="679"/>
      <c r="X156" s="679"/>
      <c r="Y156" s="674"/>
      <c r="Z156" s="674"/>
      <c r="AA156" s="674"/>
    </row>
    <row r="157" spans="1:27" ht="12.75" customHeight="1" x14ac:dyDescent="0.25">
      <c r="A157" s="114" t="str">
        <f t="shared" si="23"/>
        <v/>
      </c>
      <c r="B157" s="130" t="str">
        <f t="shared" si="24"/>
        <v/>
      </c>
      <c r="C157" s="130" t="str">
        <f>IFERROR(IF(ROUND(IF(totalyrs&gt;3,IF('Salary Detail'!$F$18="X",(IF(F25*(1+$K$15)^3&gt; MAXSAL,(MAXSAL*G157),(F25*G157*yr4percent*(1+$K$15)^3))),(F25*G157*yr4percent*(1+$K$15)^3)),0),0)=0,"",ROUND(IF(totalyrs&gt;3,IF('Salary Detail'!$F$18="X",(IF(F25*(1+$K$15)^3&gt; MAXSAL,(MAXSAL*G157),(F25*G157*yr4percent*(1+$K$15)^3))),(F25*G157*yr4percent*(1+$K$15)^3)),0),0)),"")</f>
        <v/>
      </c>
      <c r="D157" s="115" t="str">
        <f t="shared" si="33"/>
        <v/>
      </c>
      <c r="E157" s="266" t="str">
        <f t="shared" si="25"/>
        <v/>
      </c>
      <c r="F157" s="116" t="str">
        <f t="shared" si="26"/>
        <v/>
      </c>
      <c r="G157" s="183" t="str">
        <f t="shared" si="27"/>
        <v/>
      </c>
      <c r="H157" s="910" t="str">
        <f t="shared" si="28"/>
        <v/>
      </c>
      <c r="I157" s="939"/>
      <c r="J157" s="271" t="str">
        <f t="shared" si="29"/>
        <v/>
      </c>
      <c r="K157" s="131" t="str">
        <f>IFERROR(IF(ROUND(IF(totalyrs&gt;4,IF('Salary Detail'!$F$18="X",(IF(F25*(1+$K$15)^4&gt; MAXSAL,(MAXSAL*O157),(F25*O157*yr5percent*(1+$K$15)^4))),(F25*O157*yr5percent*(1+$K$15)^4)),0),0)=0,"",ROUND(IF(totalyrs&gt;4,IF('Salary Detail'!$F$18="X",(IF(F25*(1+$K$15)^4&gt; MAXSAL,(MAXSAL*O157),(F25*O157*yr5percent*(1+$K$15)^4))),(F25*O157*yr5percent*(1+$K$15)^4)),0),0)),"")</f>
        <v/>
      </c>
      <c r="L157" s="115" t="str">
        <f t="shared" si="34"/>
        <v/>
      </c>
      <c r="M157" s="266" t="str">
        <f t="shared" si="30"/>
        <v/>
      </c>
      <c r="N157" s="118" t="str">
        <f t="shared" si="31"/>
        <v/>
      </c>
      <c r="O157" s="185" t="str">
        <f t="shared" si="32"/>
        <v/>
      </c>
      <c r="P157" s="683">
        <f>IF(AND(totalyrs&gt;4,totalyrs&lt;5),totalyrs-4,1)</f>
        <v>1</v>
      </c>
      <c r="Q157" s="684" t="s">
        <v>55</v>
      </c>
      <c r="R157" s="674"/>
      <c r="S157" s="674"/>
      <c r="T157" s="674"/>
      <c r="U157" s="674"/>
      <c r="V157" s="674"/>
      <c r="W157" s="679"/>
      <c r="X157" s="679"/>
      <c r="Y157" s="674"/>
      <c r="Z157" s="674"/>
      <c r="AA157" s="674"/>
    </row>
    <row r="158" spans="1:27" ht="12.75" customHeight="1" x14ac:dyDescent="0.25">
      <c r="A158" s="114" t="str">
        <f t="shared" si="23"/>
        <v/>
      </c>
      <c r="B158" s="130" t="str">
        <f t="shared" si="24"/>
        <v/>
      </c>
      <c r="C158" s="130" t="str">
        <f>IFERROR(IF(ROUND(IF(totalyrs&gt;3,IF('Salary Detail'!$F$18="X",(IF(F26*(1+$K$15)^3&gt; MAXSAL,(MAXSAL*G158),(F26*G158*yr4percent*(1+$K$15)^3))),(F26*G158*yr4percent*(1+$K$15)^3)),0),0)=0,"",ROUND(IF(totalyrs&gt;3,IF('Salary Detail'!$F$18="X",(IF(F26*(1+$K$15)^3&gt; MAXSAL,(MAXSAL*G158),(F26*G158*yr4percent*(1+$K$15)^3))),(F26*G158*yr4percent*(1+$K$15)^3)),0),0)),"")</f>
        <v/>
      </c>
      <c r="D158" s="115" t="str">
        <f t="shared" si="33"/>
        <v/>
      </c>
      <c r="E158" s="266" t="str">
        <f t="shared" si="25"/>
        <v/>
      </c>
      <c r="F158" s="116" t="str">
        <f t="shared" si="26"/>
        <v/>
      </c>
      <c r="G158" s="183" t="str">
        <f t="shared" si="27"/>
        <v/>
      </c>
      <c r="H158" s="910" t="str">
        <f t="shared" si="28"/>
        <v/>
      </c>
      <c r="I158" s="939"/>
      <c r="J158" s="271" t="str">
        <f t="shared" si="29"/>
        <v/>
      </c>
      <c r="K158" s="131" t="str">
        <f>IFERROR(IF(ROUND(IF(totalyrs&gt;4,IF('Salary Detail'!$F$18="X",(IF(F26*(1+$K$15)^4&gt; MAXSAL,(MAXSAL*O158),(F26*O158*yr5percent*(1+$K$15)^4))),(F26*O158*yr5percent*(1+$K$15)^4)),0),0)=0,"",ROUND(IF(totalyrs&gt;4,IF('Salary Detail'!$F$18="X",(IF(F26*(1+$K$15)^4&gt; MAXSAL,(MAXSAL*O158),(F26*O158*yr5percent*(1+$K$15)^4))),(F26*O158*yr5percent*(1+$K$15)^4)),0),0)),"")</f>
        <v/>
      </c>
      <c r="L158" s="115" t="str">
        <f t="shared" si="34"/>
        <v/>
      </c>
      <c r="M158" s="266" t="str">
        <f t="shared" si="30"/>
        <v/>
      </c>
      <c r="N158" s="118" t="str">
        <f t="shared" si="31"/>
        <v/>
      </c>
      <c r="O158" s="185" t="str">
        <f t="shared" si="32"/>
        <v/>
      </c>
      <c r="P158" s="682"/>
      <c r="Q158" s="679"/>
      <c r="R158" s="674"/>
      <c r="S158" s="674"/>
      <c r="T158" s="674"/>
      <c r="U158" s="674"/>
      <c r="V158" s="674"/>
      <c r="W158" s="679"/>
      <c r="X158" s="679"/>
      <c r="Y158" s="674"/>
      <c r="Z158" s="674"/>
      <c r="AA158" s="674"/>
    </row>
    <row r="159" spans="1:27" ht="12.75" customHeight="1" x14ac:dyDescent="0.25">
      <c r="A159" s="114" t="str">
        <f t="shared" si="23"/>
        <v/>
      </c>
      <c r="B159" s="130" t="str">
        <f t="shared" si="24"/>
        <v/>
      </c>
      <c r="C159" s="130" t="str">
        <f>IFERROR(IF(ROUND(IF(totalyrs&gt;3,IF('Salary Detail'!$F$18="X",(IF(F27*(1+$K$15)^3&gt; MAXSAL,(MAXSAL*G159),(F27*G159*yr4percent*(1+$K$15)^3))),(F27*G159*yr4percent*(1+$K$15)^3)),0),0)=0,"",ROUND(IF(totalyrs&gt;3,IF('Salary Detail'!$F$18="X",(IF(F27*(1+$K$15)^3&gt; MAXSAL,(MAXSAL*G159),(F27*G159*yr4percent*(1+$K$15)^3))),(F27*G159*yr4percent*(1+$K$15)^3)),0),0)),"")</f>
        <v/>
      </c>
      <c r="D159" s="115" t="str">
        <f t="shared" si="33"/>
        <v/>
      </c>
      <c r="E159" s="266" t="str">
        <f t="shared" si="25"/>
        <v/>
      </c>
      <c r="F159" s="116" t="str">
        <f t="shared" si="26"/>
        <v/>
      </c>
      <c r="G159" s="183" t="str">
        <f t="shared" si="27"/>
        <v/>
      </c>
      <c r="H159" s="910" t="str">
        <f t="shared" si="28"/>
        <v/>
      </c>
      <c r="I159" s="939"/>
      <c r="J159" s="271" t="str">
        <f t="shared" si="29"/>
        <v/>
      </c>
      <c r="K159" s="131" t="str">
        <f>IFERROR(IF(ROUND(IF(totalyrs&gt;4,IF('Salary Detail'!$F$18="X",(IF(F27*(1+$K$15)^4&gt; MAXSAL,(MAXSAL*O159),(F27*O159*yr5percent*(1+$K$15)^4))),(F27*O159*yr5percent*(1+$K$15)^4)),0),0)=0,"",ROUND(IF(totalyrs&gt;4,IF('Salary Detail'!$F$18="X",(IF(F27*(1+$K$15)^4&gt; MAXSAL,(MAXSAL*O159),(F27*O159*yr5percent*(1+$K$15)^4))),(F27*O159*yr5percent*(1+$K$15)^4)),0),0)),"")</f>
        <v/>
      </c>
      <c r="L159" s="115" t="str">
        <f t="shared" si="34"/>
        <v/>
      </c>
      <c r="M159" s="266" t="str">
        <f t="shared" si="30"/>
        <v/>
      </c>
      <c r="N159" s="118" t="str">
        <f t="shared" si="31"/>
        <v/>
      </c>
      <c r="O159" s="185" t="str">
        <f t="shared" si="32"/>
        <v/>
      </c>
      <c r="P159" s="682"/>
      <c r="Q159" s="679"/>
      <c r="R159" s="674"/>
      <c r="S159" s="674"/>
      <c r="T159" s="674"/>
      <c r="U159" s="674"/>
      <c r="V159" s="674"/>
      <c r="W159" s="679"/>
      <c r="X159" s="679"/>
      <c r="Y159" s="674"/>
      <c r="Z159" s="674"/>
      <c r="AA159" s="674"/>
    </row>
    <row r="160" spans="1:27" ht="12.75" customHeight="1" x14ac:dyDescent="0.25">
      <c r="A160" s="114" t="str">
        <f t="shared" si="23"/>
        <v/>
      </c>
      <c r="B160" s="130" t="str">
        <f t="shared" si="24"/>
        <v/>
      </c>
      <c r="C160" s="130" t="str">
        <f>IFERROR(IF(ROUND(IF(totalyrs&gt;3,IF('Salary Detail'!$F$18="X",(IF(F28*(1+$K$15)^3&gt; MAXSAL,(MAXSAL*G160),(F28*G160*yr4percent*(1+$K$15)^3))),(F28*G160*yr4percent*(1+$K$15)^3)),0),0)=0,"",ROUND(IF(totalyrs&gt;3,IF('Salary Detail'!$F$18="X",(IF(F28*(1+$K$15)^3&gt; MAXSAL,(MAXSAL*G160),(F28*G160*yr4percent*(1+$K$15)^3))),(F28*G160*yr4percent*(1+$K$15)^3)),0),0)),"")</f>
        <v/>
      </c>
      <c r="D160" s="115" t="str">
        <f t="shared" si="33"/>
        <v/>
      </c>
      <c r="E160" s="266" t="str">
        <f t="shared" si="25"/>
        <v/>
      </c>
      <c r="F160" s="116" t="str">
        <f t="shared" si="26"/>
        <v/>
      </c>
      <c r="G160" s="183" t="str">
        <f t="shared" si="27"/>
        <v/>
      </c>
      <c r="H160" s="910" t="str">
        <f t="shared" si="28"/>
        <v/>
      </c>
      <c r="I160" s="939"/>
      <c r="J160" s="271" t="str">
        <f t="shared" si="29"/>
        <v/>
      </c>
      <c r="K160" s="131" t="str">
        <f>IFERROR(IF(ROUND(IF(totalyrs&gt;4,IF('Salary Detail'!$F$18="X",(IF(F28*(1+$K$15)^4&gt; MAXSAL,(MAXSAL*O160),(F28*O160*yr5percent*(1+$K$15)^4))),(F28*O160*yr5percent*(1+$K$15)^4)),0),0)=0,"",ROUND(IF(totalyrs&gt;4,IF('Salary Detail'!$F$18="X",(IF(F28*(1+$K$15)^4&gt; MAXSAL,(MAXSAL*O160),(F28*O160*yr5percent*(1+$K$15)^4))),(F28*O160*yr5percent*(1+$K$15)^4)),0),0)),"")</f>
        <v/>
      </c>
      <c r="L160" s="115" t="str">
        <f t="shared" si="34"/>
        <v/>
      </c>
      <c r="M160" s="266" t="str">
        <f t="shared" si="30"/>
        <v/>
      </c>
      <c r="N160" s="118" t="str">
        <f t="shared" si="31"/>
        <v/>
      </c>
      <c r="O160" s="185" t="str">
        <f t="shared" si="32"/>
        <v/>
      </c>
      <c r="P160" s="682"/>
      <c r="Q160" s="679"/>
      <c r="R160" s="674"/>
      <c r="S160" s="674"/>
      <c r="T160" s="674"/>
      <c r="U160" s="674"/>
      <c r="V160" s="674"/>
      <c r="W160" s="679"/>
      <c r="X160" s="679"/>
      <c r="Y160" s="674"/>
      <c r="Z160" s="674"/>
      <c r="AA160" s="674"/>
    </row>
    <row r="161" spans="1:27" ht="12.75" customHeight="1" x14ac:dyDescent="0.25">
      <c r="A161" s="114" t="str">
        <f t="shared" si="23"/>
        <v/>
      </c>
      <c r="B161" s="130" t="str">
        <f t="shared" si="24"/>
        <v/>
      </c>
      <c r="C161" s="130" t="str">
        <f>IFERROR(IF(ROUND(IF(totalyrs&gt;3,IF('Salary Detail'!$F$18="X",(IF(F29*(1+$K$15)^3&gt; MAXSAL,(MAXSAL*G161),(F29*G161*yr4percent*(1+$K$15)^3))),(F29*G161*yr4percent*(1+$K$15)^3)),0),0)=0,"",ROUND(IF(totalyrs&gt;3,IF('Salary Detail'!$F$18="X",(IF(F29*(1+$K$15)^3&gt; MAXSAL,(MAXSAL*G161),(F29*G161*yr4percent*(1+$K$15)^3))),(F29*G161*yr4percent*(1+$K$15)^3)),0),0)),"")</f>
        <v/>
      </c>
      <c r="D161" s="115" t="str">
        <f t="shared" si="33"/>
        <v/>
      </c>
      <c r="E161" s="266" t="str">
        <f t="shared" si="25"/>
        <v/>
      </c>
      <c r="F161" s="116" t="str">
        <f t="shared" si="26"/>
        <v/>
      </c>
      <c r="G161" s="183" t="str">
        <f t="shared" si="27"/>
        <v/>
      </c>
      <c r="H161" s="910" t="str">
        <f t="shared" si="28"/>
        <v/>
      </c>
      <c r="I161" s="939"/>
      <c r="J161" s="271" t="str">
        <f t="shared" si="29"/>
        <v/>
      </c>
      <c r="K161" s="131" t="str">
        <f>IFERROR(IF(ROUND(IF(totalyrs&gt;4,IF('Salary Detail'!$F$18="X",(IF(F29*(1+$K$15)^4&gt; MAXSAL,(MAXSAL*O161),(F29*O161*yr5percent*(1+$K$15)^4))),(F29*O161*yr5percent*(1+$K$15)^4)),0),0)=0,"",ROUND(IF(totalyrs&gt;4,IF('Salary Detail'!$F$18="X",(IF(F29*(1+$K$15)^4&gt; MAXSAL,(MAXSAL*O161),(F29*O161*yr5percent*(1+$K$15)^4))),(F29*O161*yr5percent*(1+$K$15)^4)),0),0)),"")</f>
        <v/>
      </c>
      <c r="L161" s="115" t="str">
        <f t="shared" si="34"/>
        <v/>
      </c>
      <c r="M161" s="266" t="str">
        <f t="shared" si="30"/>
        <v/>
      </c>
      <c r="N161" s="118" t="str">
        <f t="shared" si="31"/>
        <v/>
      </c>
      <c r="O161" s="185" t="str">
        <f t="shared" si="32"/>
        <v/>
      </c>
      <c r="P161" s="682"/>
      <c r="Q161" s="679"/>
      <c r="R161" s="674"/>
      <c r="S161" s="674"/>
      <c r="T161" s="674"/>
      <c r="U161" s="674"/>
      <c r="V161" s="674"/>
      <c r="W161" s="679"/>
      <c r="X161" s="679"/>
      <c r="Y161" s="674"/>
      <c r="Z161" s="674"/>
      <c r="AA161" s="674"/>
    </row>
    <row r="162" spans="1:27" ht="12.75" customHeight="1" x14ac:dyDescent="0.25">
      <c r="A162" s="114" t="str">
        <f t="shared" si="23"/>
        <v/>
      </c>
      <c r="B162" s="130" t="str">
        <f t="shared" si="24"/>
        <v/>
      </c>
      <c r="C162" s="130" t="str">
        <f>IFERROR(IF(ROUND(IF(totalyrs&gt;3,IF('Salary Detail'!$F$18="X",(IF(F30*(1+$K$15)^3&gt; MAXSAL,(MAXSAL*G162),(F30*G162*yr4percent*(1+$K$15)^3))),(F30*G162*yr4percent*(1+$K$15)^3)),0),0)=0,"",ROUND(IF(totalyrs&gt;3,IF('Salary Detail'!$F$18="X",(IF(F30*(1+$K$15)^3&gt; MAXSAL,(MAXSAL*G162),(F30*G162*yr4percent*(1+$K$15)^3))),(F30*G162*yr4percent*(1+$K$15)^3)),0),0)),"")</f>
        <v/>
      </c>
      <c r="D162" s="115" t="str">
        <f t="shared" si="33"/>
        <v/>
      </c>
      <c r="E162" s="266" t="str">
        <f t="shared" si="25"/>
        <v/>
      </c>
      <c r="F162" s="116" t="str">
        <f t="shared" si="26"/>
        <v/>
      </c>
      <c r="G162" s="183" t="str">
        <f t="shared" si="27"/>
        <v/>
      </c>
      <c r="H162" s="910" t="str">
        <f t="shared" si="28"/>
        <v/>
      </c>
      <c r="I162" s="939"/>
      <c r="J162" s="271" t="str">
        <f t="shared" si="29"/>
        <v/>
      </c>
      <c r="K162" s="131" t="str">
        <f>IFERROR(IF(ROUND(IF(totalyrs&gt;4,IF('Salary Detail'!$F$18="X",(IF(F30*(1+$K$15)^4&gt; MAXSAL,(MAXSAL*O162),(F30*O162*yr5percent*(1+$K$15)^4))),(F30*O162*yr5percent*(1+$K$15)^4)),0),0)=0,"",ROUND(IF(totalyrs&gt;4,IF('Salary Detail'!$F$18="X",(IF(F30*(1+$K$15)^4&gt; MAXSAL,(MAXSAL*O162),(F30*O162*yr5percent*(1+$K$15)^4))),(F30*O162*yr5percent*(1+$K$15)^4)),0),0)),"")</f>
        <v/>
      </c>
      <c r="L162" s="115" t="str">
        <f t="shared" si="34"/>
        <v/>
      </c>
      <c r="M162" s="266" t="str">
        <f t="shared" si="30"/>
        <v/>
      </c>
      <c r="N162" s="118" t="str">
        <f t="shared" si="31"/>
        <v/>
      </c>
      <c r="O162" s="185" t="str">
        <f t="shared" si="32"/>
        <v/>
      </c>
      <c r="P162" s="682"/>
      <c r="Q162" s="679"/>
      <c r="R162" s="674"/>
      <c r="S162" s="674"/>
      <c r="T162" s="674"/>
      <c r="U162" s="674"/>
      <c r="V162" s="674"/>
      <c r="W162" s="679"/>
      <c r="X162" s="679"/>
      <c r="Y162" s="674"/>
      <c r="Z162" s="674"/>
      <c r="AA162" s="674"/>
    </row>
    <row r="163" spans="1:27" ht="12.75" customHeight="1" x14ac:dyDescent="0.25">
      <c r="A163" s="114" t="str">
        <f t="shared" si="23"/>
        <v/>
      </c>
      <c r="B163" s="130" t="str">
        <f t="shared" si="24"/>
        <v/>
      </c>
      <c r="C163" s="130" t="str">
        <f>IFERROR(IF(ROUND(IF(totalyrs&gt;3,IF('Salary Detail'!$F$18="X",(IF(F31*(1+$K$15)^3&gt; MAXSAL,(MAXSAL*G163),(F31*G163*yr4percent*(1+$K$15)^3))),(F31*G163*yr4percent*(1+$K$15)^3)),0),0)=0,"",ROUND(IF(totalyrs&gt;3,IF('Salary Detail'!$F$18="X",(IF(F31*(1+$K$15)^3&gt; MAXSAL,(MAXSAL*G163),(F31*G163*yr4percent*(1+$K$15)^3))),(F31*G163*yr4percent*(1+$K$15)^3)),0),0)),"")</f>
        <v/>
      </c>
      <c r="D163" s="115" t="str">
        <f t="shared" si="33"/>
        <v/>
      </c>
      <c r="E163" s="266" t="str">
        <f t="shared" si="25"/>
        <v/>
      </c>
      <c r="F163" s="116" t="str">
        <f t="shared" si="26"/>
        <v/>
      </c>
      <c r="G163" s="183" t="str">
        <f t="shared" si="27"/>
        <v/>
      </c>
      <c r="H163" s="910" t="str">
        <f t="shared" si="28"/>
        <v/>
      </c>
      <c r="I163" s="939"/>
      <c r="J163" s="271" t="str">
        <f t="shared" si="29"/>
        <v/>
      </c>
      <c r="K163" s="131" t="str">
        <f>IFERROR(IF(ROUND(IF(totalyrs&gt;4,IF('Salary Detail'!$F$18="X",(IF(F31*(1+$K$15)^4&gt; MAXSAL,(MAXSAL*O163),(F31*O163*yr5percent*(1+$K$15)^4))),(F31*O163*yr5percent*(1+$K$15)^4)),0),0)=0,"",ROUND(IF(totalyrs&gt;4,IF('Salary Detail'!$F$18="X",(IF(F31*(1+$K$15)^4&gt; MAXSAL,(MAXSAL*O163),(F31*O163*yr5percent*(1+$K$15)^4))),(F31*O163*yr5percent*(1+$K$15)^4)),0),0)),"")</f>
        <v/>
      </c>
      <c r="L163" s="115" t="str">
        <f t="shared" si="34"/>
        <v/>
      </c>
      <c r="M163" s="266" t="str">
        <f t="shared" si="30"/>
        <v/>
      </c>
      <c r="N163" s="118" t="str">
        <f t="shared" si="31"/>
        <v/>
      </c>
      <c r="O163" s="185" t="str">
        <f t="shared" si="32"/>
        <v/>
      </c>
      <c r="P163" s="682"/>
      <c r="Q163" s="679"/>
      <c r="R163" s="674"/>
      <c r="S163" s="674"/>
      <c r="T163" s="674"/>
      <c r="U163" s="674"/>
      <c r="V163" s="674"/>
      <c r="W163" s="679"/>
      <c r="X163" s="679"/>
      <c r="Y163" s="674"/>
      <c r="Z163" s="674"/>
      <c r="AA163" s="674"/>
    </row>
    <row r="164" spans="1:27" ht="12.75" customHeight="1" x14ac:dyDescent="0.25">
      <c r="A164" s="114" t="str">
        <f t="shared" si="23"/>
        <v/>
      </c>
      <c r="B164" s="130" t="str">
        <f t="shared" si="24"/>
        <v/>
      </c>
      <c r="C164" s="130" t="str">
        <f>IFERROR(IF(ROUND(IF(totalyrs&gt;3,IF('Salary Detail'!$F$18="X",(IF(F32*(1+$K$15)^3&gt; MAXSAL,(MAXSAL*G164),(F32*G164*yr4percent*(1+$K$15)^3))),(F32*G164*yr4percent*(1+$K$15)^3)),0),0)=0,"",ROUND(IF(totalyrs&gt;3,IF('Salary Detail'!$F$18="X",(IF(F32*(1+$K$15)^3&gt; MAXSAL,(MAXSAL*G164),(F32*G164*yr4percent*(1+$K$15)^3))),(F32*G164*yr4percent*(1+$K$15)^3)),0),0)),"")</f>
        <v/>
      </c>
      <c r="D164" s="115" t="str">
        <f t="shared" si="33"/>
        <v/>
      </c>
      <c r="E164" s="266" t="str">
        <f t="shared" si="25"/>
        <v/>
      </c>
      <c r="F164" s="116" t="str">
        <f t="shared" si="26"/>
        <v/>
      </c>
      <c r="G164" s="183" t="str">
        <f t="shared" si="27"/>
        <v/>
      </c>
      <c r="H164" s="910" t="str">
        <f t="shared" si="28"/>
        <v/>
      </c>
      <c r="I164" s="939"/>
      <c r="J164" s="271" t="str">
        <f t="shared" si="29"/>
        <v/>
      </c>
      <c r="K164" s="131" t="str">
        <f>IFERROR(IF(ROUND(IF(totalyrs&gt;4,IF('Salary Detail'!$F$18="X",(IF(F32*(1+$K$15)^4&gt; MAXSAL,(MAXSAL*O164),(F32*O164*yr5percent*(1+$K$15)^4))),(F32*O164*yr5percent*(1+$K$15)^4)),0),0)=0,"",ROUND(IF(totalyrs&gt;4,IF('Salary Detail'!$F$18="X",(IF(F32*(1+$K$15)^4&gt; MAXSAL,(MAXSAL*O164),(F32*O164*yr5percent*(1+$K$15)^4))),(F32*O164*yr5percent*(1+$K$15)^4)),0),0)),"")</f>
        <v/>
      </c>
      <c r="L164" s="115" t="str">
        <f t="shared" si="34"/>
        <v/>
      </c>
      <c r="M164" s="266" t="str">
        <f t="shared" si="30"/>
        <v/>
      </c>
      <c r="N164" s="118" t="str">
        <f t="shared" si="31"/>
        <v/>
      </c>
      <c r="O164" s="185" t="str">
        <f t="shared" si="32"/>
        <v/>
      </c>
      <c r="P164" s="682"/>
      <c r="Q164" s="679"/>
      <c r="R164" s="674"/>
      <c r="S164" s="674"/>
      <c r="T164" s="674"/>
      <c r="U164" s="674"/>
      <c r="V164" s="674"/>
      <c r="W164" s="679"/>
      <c r="X164" s="679"/>
      <c r="Y164" s="674"/>
      <c r="Z164" s="674"/>
      <c r="AA164" s="674"/>
    </row>
    <row r="165" spans="1:27" ht="12.75" customHeight="1" x14ac:dyDescent="0.25">
      <c r="A165" s="114" t="str">
        <f t="shared" si="23"/>
        <v/>
      </c>
      <c r="B165" s="130" t="str">
        <f t="shared" si="24"/>
        <v/>
      </c>
      <c r="C165" s="130" t="str">
        <f>IFERROR(IF(ROUND(IF(totalyrs&gt;3,IF('Salary Detail'!$F$18="X",(IF(F33*(1+$K$15)^3&gt; MAXSAL,(MAXSAL*G165),(F33*G165*yr4percent*(1+$K$15)^3))),(F33*G165*yr4percent*(1+$K$15)^3)),0),0)=0,"",ROUND(IF(totalyrs&gt;3,IF('Salary Detail'!$F$18="X",(IF(F33*(1+$K$15)^3&gt; MAXSAL,(MAXSAL*G165),(F33*G165*yr4percent*(1+$K$15)^3))),(F33*G165*yr4percent*(1+$K$15)^3)),0),0)),"")</f>
        <v/>
      </c>
      <c r="D165" s="115" t="str">
        <f t="shared" si="33"/>
        <v/>
      </c>
      <c r="E165" s="266" t="str">
        <f t="shared" si="25"/>
        <v/>
      </c>
      <c r="F165" s="116" t="str">
        <f t="shared" si="26"/>
        <v/>
      </c>
      <c r="G165" s="183" t="str">
        <f t="shared" si="27"/>
        <v/>
      </c>
      <c r="H165" s="910" t="str">
        <f t="shared" si="28"/>
        <v/>
      </c>
      <c r="I165" s="939"/>
      <c r="J165" s="271" t="str">
        <f t="shared" si="29"/>
        <v/>
      </c>
      <c r="K165" s="131" t="str">
        <f>IFERROR(IF(ROUND(IF(totalyrs&gt;4,IF('Salary Detail'!$F$18="X",(IF(F33*(1+$K$15)^4&gt; MAXSAL,(MAXSAL*O165),(F33*O165*yr5percent*(1+$K$15)^4))),(F33*O165*yr5percent*(1+$K$15)^4)),0),0)=0,"",ROUND(IF(totalyrs&gt;4,IF('Salary Detail'!$F$18="X",(IF(F33*(1+$K$15)^4&gt; MAXSAL,(MAXSAL*O165),(F33*O165*yr5percent*(1+$K$15)^4))),(F33*O165*yr5percent*(1+$K$15)^4)),0),0)),"")</f>
        <v/>
      </c>
      <c r="L165" s="115" t="str">
        <f t="shared" si="34"/>
        <v/>
      </c>
      <c r="M165" s="266" t="str">
        <f t="shared" si="30"/>
        <v/>
      </c>
      <c r="N165" s="118" t="str">
        <f t="shared" si="31"/>
        <v/>
      </c>
      <c r="O165" s="185" t="str">
        <f t="shared" si="32"/>
        <v/>
      </c>
      <c r="P165" s="682"/>
      <c r="Q165" s="679"/>
      <c r="R165" s="674"/>
      <c r="S165" s="674"/>
      <c r="T165" s="674"/>
      <c r="U165" s="674"/>
      <c r="V165" s="674"/>
      <c r="W165" s="679"/>
      <c r="X165" s="679"/>
      <c r="Y165" s="674"/>
      <c r="Z165" s="674"/>
      <c r="AA165" s="674"/>
    </row>
    <row r="166" spans="1:27" ht="12.75" customHeight="1" x14ac:dyDescent="0.25">
      <c r="A166" s="114" t="str">
        <f t="shared" si="23"/>
        <v/>
      </c>
      <c r="B166" s="130" t="str">
        <f t="shared" si="24"/>
        <v/>
      </c>
      <c r="C166" s="130" t="str">
        <f>IFERROR(IF(ROUND(IF(totalyrs&gt;3,IF('Salary Detail'!$F$18="X",(IF(F34*(1+$K$15)^3&gt; MAXSAL,(MAXSAL*G166),(F34*G166*yr4percent*(1+$K$15)^3))),(F34*G166*yr4percent*(1+$K$15)^3)),0),0)=0,"",ROUND(IF(totalyrs&gt;3,IF('Salary Detail'!$F$18="X",(IF(F34*(1+$K$15)^3&gt; MAXSAL,(MAXSAL*G166),(F34*G166*yr4percent*(1+$K$15)^3))),(F34*G166*yr4percent*(1+$K$15)^3)),0),0)),"")</f>
        <v/>
      </c>
      <c r="D166" s="115" t="str">
        <f t="shared" si="33"/>
        <v/>
      </c>
      <c r="E166" s="266" t="str">
        <f t="shared" si="25"/>
        <v/>
      </c>
      <c r="F166" s="116" t="str">
        <f t="shared" si="26"/>
        <v/>
      </c>
      <c r="G166" s="183" t="str">
        <f t="shared" si="27"/>
        <v/>
      </c>
      <c r="H166" s="910" t="str">
        <f t="shared" si="28"/>
        <v/>
      </c>
      <c r="I166" s="939"/>
      <c r="J166" s="271" t="str">
        <f t="shared" si="29"/>
        <v/>
      </c>
      <c r="K166" s="131" t="str">
        <f>IFERROR(IF(ROUND(IF(totalyrs&gt;4,IF('Salary Detail'!$F$18="X",(IF(F34*(1+$K$15)^4&gt; MAXSAL,(MAXSAL*O166),(F34*O166*yr5percent*(1+$K$15)^4))),(F34*O166*yr5percent*(1+$K$15)^4)),0),0)=0,"",ROUND(IF(totalyrs&gt;4,IF('Salary Detail'!$F$18="X",(IF(F34*(1+$K$15)^4&gt; MAXSAL,(MAXSAL*O166),(F34*O166*yr5percent*(1+$K$15)^4))),(F34*O166*yr5percent*(1+$K$15)^4)),0),0)),"")</f>
        <v/>
      </c>
      <c r="L166" s="115" t="str">
        <f t="shared" si="34"/>
        <v/>
      </c>
      <c r="M166" s="266" t="str">
        <f t="shared" si="30"/>
        <v/>
      </c>
      <c r="N166" s="118" t="str">
        <f t="shared" si="31"/>
        <v/>
      </c>
      <c r="O166" s="185" t="str">
        <f t="shared" si="32"/>
        <v/>
      </c>
      <c r="P166" s="687"/>
      <c r="Q166" s="687"/>
      <c r="R166" s="674"/>
      <c r="S166" s="674"/>
      <c r="T166" s="674"/>
      <c r="U166" s="674"/>
      <c r="V166" s="674"/>
      <c r="W166" s="679"/>
      <c r="X166" s="679"/>
      <c r="Y166" s="674"/>
      <c r="Z166" s="674"/>
      <c r="AA166" s="674"/>
    </row>
    <row r="167" spans="1:27" ht="12.75" customHeight="1" x14ac:dyDescent="0.25">
      <c r="A167" s="114" t="str">
        <f t="shared" si="23"/>
        <v/>
      </c>
      <c r="B167" s="130" t="str">
        <f t="shared" si="24"/>
        <v/>
      </c>
      <c r="C167" s="130" t="str">
        <f>IFERROR(IF(ROUND(IF(totalyrs&gt;3,IF('Salary Detail'!$F$18="X",(IF(F35*(1+$K$15)^3&gt; MAXSAL,(MAXSAL*G167),(F35*G167*yr4percent*(1+$K$15)^3))),(F35*G167*yr4percent*(1+$K$15)^3)),0),0)=0,"",ROUND(IF(totalyrs&gt;3,IF('Salary Detail'!$F$18="X",(IF(F35*(1+$K$15)^3&gt; MAXSAL,(MAXSAL*G167),(F35*G167*yr4percent*(1+$K$15)^3))),(F35*G167*yr4percent*(1+$K$15)^3)),0),0)),"")</f>
        <v/>
      </c>
      <c r="D167" s="115" t="str">
        <f t="shared" si="33"/>
        <v/>
      </c>
      <c r="E167" s="266" t="str">
        <f t="shared" si="25"/>
        <v/>
      </c>
      <c r="F167" s="116" t="str">
        <f t="shared" si="26"/>
        <v/>
      </c>
      <c r="G167" s="183" t="str">
        <f t="shared" si="27"/>
        <v/>
      </c>
      <c r="H167" s="910" t="str">
        <f t="shared" si="28"/>
        <v/>
      </c>
      <c r="I167" s="939"/>
      <c r="J167" s="271" t="str">
        <f t="shared" si="29"/>
        <v/>
      </c>
      <c r="K167" s="131" t="str">
        <f>IFERROR(IF(ROUND(IF(totalyrs&gt;4,IF('Salary Detail'!$F$18="X",(IF(F35*(1+$K$15)^4&gt; MAXSAL,(MAXSAL*O167),(F35*O167*yr5percent*(1+$K$15)^4))),(F35*O167*yr5percent*(1+$K$15)^4)),0),0)=0,"",ROUND(IF(totalyrs&gt;4,IF('Salary Detail'!$F$18="X",(IF(F35*(1+$K$15)^4&gt; MAXSAL,(MAXSAL*O167),(F35*O167*yr5percent*(1+$K$15)^4))),(F35*O167*yr5percent*(1+$K$15)^4)),0),0)),"")</f>
        <v/>
      </c>
      <c r="L167" s="115" t="str">
        <f t="shared" si="34"/>
        <v/>
      </c>
      <c r="M167" s="266" t="str">
        <f t="shared" si="30"/>
        <v/>
      </c>
      <c r="N167" s="118" t="str">
        <f t="shared" si="31"/>
        <v/>
      </c>
      <c r="O167" s="185" t="str">
        <f t="shared" si="32"/>
        <v/>
      </c>
      <c r="P167" s="687"/>
      <c r="Q167" s="687"/>
      <c r="R167" s="674"/>
      <c r="S167" s="674"/>
      <c r="T167" s="674"/>
      <c r="U167" s="674"/>
      <c r="V167" s="674"/>
      <c r="W167" s="679"/>
      <c r="X167" s="679"/>
      <c r="Y167" s="674"/>
      <c r="Z167" s="674"/>
      <c r="AA167" s="674"/>
    </row>
    <row r="168" spans="1:27" ht="12.75" customHeight="1" x14ac:dyDescent="0.25">
      <c r="A168" s="114" t="str">
        <f t="shared" si="23"/>
        <v/>
      </c>
      <c r="B168" s="130" t="str">
        <f t="shared" si="24"/>
        <v/>
      </c>
      <c r="C168" s="130" t="str">
        <f>IFERROR(IF(ROUND(IF(totalyrs&gt;3,IF('Salary Detail'!$F$18="X",(IF(F36*(1+$K$15)^3&gt; MAXSAL,(MAXSAL*G168),(F36*G168*yr4percent*(1+$K$15)^3))),(F36*G168*yr4percent*(1+$K$15)^3)),0),0)=0,"",ROUND(IF(totalyrs&gt;3,IF('Salary Detail'!$F$18="X",(IF(F36*(1+$K$15)^3&gt; MAXSAL,(MAXSAL*G168),(F36*G168*yr4percent*(1+$K$15)^3))),(F36*G168*yr4percent*(1+$K$15)^3)),0),0)),"")</f>
        <v/>
      </c>
      <c r="D168" s="115" t="str">
        <f t="shared" si="33"/>
        <v/>
      </c>
      <c r="E168" s="266" t="str">
        <f t="shared" si="25"/>
        <v/>
      </c>
      <c r="F168" s="116" t="str">
        <f t="shared" si="26"/>
        <v/>
      </c>
      <c r="G168" s="183" t="str">
        <f t="shared" si="27"/>
        <v/>
      </c>
      <c r="H168" s="910" t="str">
        <f t="shared" si="28"/>
        <v/>
      </c>
      <c r="I168" s="939"/>
      <c r="J168" s="271" t="str">
        <f t="shared" si="29"/>
        <v/>
      </c>
      <c r="K168" s="131" t="str">
        <f>IFERROR(IF(ROUND(IF(totalyrs&gt;4,IF('Salary Detail'!$F$18="X",(IF(F36*(1+$K$15)^4&gt; MAXSAL,(MAXSAL*O168),(F36*O168*yr5percent*(1+$K$15)^4))),(F36*O168*yr5percent*(1+$K$15)^4)),0),0)=0,"",ROUND(IF(totalyrs&gt;4,IF('Salary Detail'!$F$18="X",(IF(F36*(1+$K$15)^4&gt; MAXSAL,(MAXSAL*O168),(F36*O168*yr5percent*(1+$K$15)^4))),(F36*O168*yr5percent*(1+$K$15)^4)),0),0)),"")</f>
        <v/>
      </c>
      <c r="L168" s="115" t="str">
        <f t="shared" si="34"/>
        <v/>
      </c>
      <c r="M168" s="266" t="str">
        <f t="shared" si="30"/>
        <v/>
      </c>
      <c r="N168" s="118" t="str">
        <f t="shared" si="31"/>
        <v/>
      </c>
      <c r="O168" s="185" t="str">
        <f t="shared" si="32"/>
        <v/>
      </c>
      <c r="P168" s="687"/>
      <c r="Q168" s="687"/>
      <c r="R168" s="674"/>
      <c r="S168" s="674"/>
      <c r="T168" s="674"/>
      <c r="U168" s="674"/>
      <c r="V168" s="674"/>
      <c r="W168" s="679"/>
      <c r="X168" s="679"/>
      <c r="Y168" s="674"/>
      <c r="Z168" s="674"/>
      <c r="AA168" s="674"/>
    </row>
    <row r="169" spans="1:27" ht="12.75" customHeight="1" x14ac:dyDescent="0.25">
      <c r="A169" s="114" t="str">
        <f t="shared" si="23"/>
        <v/>
      </c>
      <c r="B169" s="130" t="str">
        <f t="shared" si="24"/>
        <v/>
      </c>
      <c r="C169" s="130" t="str">
        <f>IFERROR(IF(ROUND(IF(totalyrs&gt;3,IF('Salary Detail'!$F$18="X",(IF(F37*(1+$K$15)^3&gt; MAXSAL,(MAXSAL*G169),(F37*G169*yr4percent*(1+$K$15)^3))),(F37*G169*yr4percent*(1+$K$15)^3)),0),0)=0,"",ROUND(IF(totalyrs&gt;3,IF('Salary Detail'!$F$18="X",(IF(F37*(1+$K$15)^3&gt; MAXSAL,(MAXSAL*G169),(F37*G169*yr4percent*(1+$K$15)^3))),(F37*G169*yr4percent*(1+$K$15)^3)),0),0)),"")</f>
        <v/>
      </c>
      <c r="D169" s="115" t="str">
        <f t="shared" si="33"/>
        <v/>
      </c>
      <c r="E169" s="266" t="str">
        <f t="shared" si="25"/>
        <v/>
      </c>
      <c r="F169" s="116" t="str">
        <f t="shared" si="26"/>
        <v/>
      </c>
      <c r="G169" s="183" t="str">
        <f t="shared" si="27"/>
        <v/>
      </c>
      <c r="H169" s="910" t="str">
        <f t="shared" si="28"/>
        <v/>
      </c>
      <c r="I169" s="939"/>
      <c r="J169" s="271" t="str">
        <f t="shared" si="29"/>
        <v/>
      </c>
      <c r="K169" s="131" t="str">
        <f>IFERROR(IF(ROUND(IF(totalyrs&gt;4,IF('Salary Detail'!$F$18="X",(IF(F37*(1+$K$15)^4&gt; MAXSAL,(MAXSAL*O169),(F37*O169*yr5percent*(1+$K$15)^4))),(F37*O169*yr5percent*(1+$K$15)^4)),0),0)=0,"",ROUND(IF(totalyrs&gt;4,IF('Salary Detail'!$F$18="X",(IF(F37*(1+$K$15)^4&gt; MAXSAL,(MAXSAL*O169),(F37*O169*yr5percent*(1+$K$15)^4))),(F37*O169*yr5percent*(1+$K$15)^4)),0),0)),"")</f>
        <v/>
      </c>
      <c r="L169" s="115" t="str">
        <f t="shared" si="34"/>
        <v/>
      </c>
      <c r="M169" s="266" t="str">
        <f t="shared" si="30"/>
        <v/>
      </c>
      <c r="N169" s="118" t="str">
        <f t="shared" si="31"/>
        <v/>
      </c>
      <c r="O169" s="185" t="str">
        <f t="shared" si="32"/>
        <v/>
      </c>
      <c r="P169" s="679"/>
      <c r="Q169" s="679"/>
      <c r="R169" s="674"/>
      <c r="S169" s="674"/>
      <c r="T169" s="674"/>
      <c r="U169" s="674"/>
      <c r="V169" s="674"/>
      <c r="W169" s="679"/>
      <c r="X169" s="679"/>
      <c r="Y169" s="674"/>
      <c r="Z169" s="674"/>
      <c r="AA169" s="674"/>
    </row>
    <row r="170" spans="1:27" ht="12.75" customHeight="1" x14ac:dyDescent="0.25">
      <c r="A170" s="114" t="str">
        <f t="shared" si="23"/>
        <v/>
      </c>
      <c r="B170" s="130" t="str">
        <f t="shared" si="24"/>
        <v/>
      </c>
      <c r="C170" s="130" t="str">
        <f>IFERROR(IF(ROUND(IF(totalyrs&gt;3,IF('Salary Detail'!$F$18="X",(IF(F38*(1+$K$15)^3&gt; MAXSAL,(MAXSAL*G170),(F38*G170*yr4percent*(1+$K$15)^3))),(F38*G170*yr4percent*(1+$K$15)^3)),0),0)=0,"",ROUND(IF(totalyrs&gt;3,IF('Salary Detail'!$F$18="X",(IF(F38*(1+$K$15)^3&gt; MAXSAL,(MAXSAL*G170),(F38*G170*yr4percent*(1+$K$15)^3))),(F38*G170*yr4percent*(1+$K$15)^3)),0),0)),"")</f>
        <v/>
      </c>
      <c r="D170" s="115" t="str">
        <f t="shared" si="33"/>
        <v/>
      </c>
      <c r="E170" s="266" t="str">
        <f t="shared" si="25"/>
        <v/>
      </c>
      <c r="F170" s="116" t="str">
        <f t="shared" si="26"/>
        <v/>
      </c>
      <c r="G170" s="183" t="str">
        <f t="shared" si="27"/>
        <v/>
      </c>
      <c r="H170" s="910" t="str">
        <f t="shared" si="28"/>
        <v/>
      </c>
      <c r="I170" s="939"/>
      <c r="J170" s="271" t="str">
        <f t="shared" si="29"/>
        <v/>
      </c>
      <c r="K170" s="131" t="str">
        <f>IFERROR(IF(ROUND(IF(totalyrs&gt;4,IF('Salary Detail'!$F$18="X",(IF(F38*(1+$K$15)^4&gt; MAXSAL,(MAXSAL*O170),(F38*O170*yr5percent*(1+$K$15)^4))),(F38*O170*yr5percent*(1+$K$15)^4)),0),0)=0,"",ROUND(IF(totalyrs&gt;4,IF('Salary Detail'!$F$18="X",(IF(F38*(1+$K$15)^4&gt; MAXSAL,(MAXSAL*O170),(F38*O170*yr5percent*(1+$K$15)^4))),(F38*O170*yr5percent*(1+$K$15)^4)),0),0)),"")</f>
        <v/>
      </c>
      <c r="L170" s="115" t="str">
        <f t="shared" si="34"/>
        <v/>
      </c>
      <c r="M170" s="266" t="str">
        <f t="shared" si="30"/>
        <v/>
      </c>
      <c r="N170" s="118" t="str">
        <f t="shared" si="31"/>
        <v/>
      </c>
      <c r="O170" s="185" t="str">
        <f t="shared" si="32"/>
        <v/>
      </c>
      <c r="P170" s="679"/>
      <c r="Q170" s="679"/>
      <c r="R170" s="674"/>
      <c r="S170" s="674"/>
      <c r="T170" s="674"/>
      <c r="U170" s="674"/>
      <c r="V170" s="674"/>
      <c r="W170" s="679"/>
      <c r="X170" s="679"/>
      <c r="Y170" s="674"/>
      <c r="Z170" s="674"/>
      <c r="AA170" s="674"/>
    </row>
    <row r="171" spans="1:27" ht="12.75" customHeight="1" x14ac:dyDescent="0.25">
      <c r="A171" s="114" t="str">
        <f t="shared" si="23"/>
        <v/>
      </c>
      <c r="B171" s="130" t="str">
        <f t="shared" si="24"/>
        <v/>
      </c>
      <c r="C171" s="130" t="str">
        <f>IFERROR(IF(ROUND(IF(totalyrs&gt;3,IF('Salary Detail'!$F$18="X",(IF(F39*(1+$K$15)^3&gt; MAXSAL,(MAXSAL*G171),(F39*G171*yr4percent*(1+$K$15)^3))),(F39*G171*yr4percent*(1+$K$15)^3)),0),0)=0,"",ROUND(IF(totalyrs&gt;3,IF('Salary Detail'!$F$18="X",(IF(F39*(1+$K$15)^3&gt; MAXSAL,(MAXSAL*G171),(F39*G171*yr4percent*(1+$K$15)^3))),(F39*G171*yr4percent*(1+$K$15)^3)),0),0)),"")</f>
        <v/>
      </c>
      <c r="D171" s="115" t="str">
        <f t="shared" si="33"/>
        <v/>
      </c>
      <c r="E171" s="266" t="str">
        <f t="shared" si="25"/>
        <v/>
      </c>
      <c r="F171" s="116" t="str">
        <f t="shared" si="26"/>
        <v/>
      </c>
      <c r="G171" s="183" t="str">
        <f t="shared" si="27"/>
        <v/>
      </c>
      <c r="H171" s="910" t="str">
        <f t="shared" si="28"/>
        <v/>
      </c>
      <c r="I171" s="939"/>
      <c r="J171" s="271" t="str">
        <f t="shared" si="29"/>
        <v/>
      </c>
      <c r="K171" s="131" t="str">
        <f>IFERROR(IF(ROUND(IF(totalyrs&gt;4,IF('Salary Detail'!$F$18="X",(IF(F39*(1+$K$15)^4&gt; MAXSAL,(MAXSAL*O171),(F39*O171*yr5percent*(1+$K$15)^4))),(F39*O171*yr5percent*(1+$K$15)^4)),0),0)=0,"",ROUND(IF(totalyrs&gt;4,IF('Salary Detail'!$F$18="X",(IF(F39*(1+$K$15)^4&gt; MAXSAL,(MAXSAL*O171),(F39*O171*yr5percent*(1+$K$15)^4))),(F39*O171*yr5percent*(1+$K$15)^4)),0),0)),"")</f>
        <v/>
      </c>
      <c r="L171" s="115" t="str">
        <f t="shared" si="34"/>
        <v/>
      </c>
      <c r="M171" s="266" t="str">
        <f t="shared" si="30"/>
        <v/>
      </c>
      <c r="N171" s="118" t="str">
        <f t="shared" si="31"/>
        <v/>
      </c>
      <c r="O171" s="185" t="str">
        <f t="shared" si="32"/>
        <v/>
      </c>
      <c r="P171" s="679"/>
      <c r="Q171" s="679"/>
      <c r="R171" s="674"/>
      <c r="S171" s="674"/>
      <c r="T171" s="674"/>
      <c r="U171" s="674"/>
      <c r="V171" s="674"/>
      <c r="W171" s="679"/>
      <c r="X171" s="679"/>
      <c r="Y171" s="674"/>
      <c r="Z171" s="674"/>
      <c r="AA171" s="674"/>
    </row>
    <row r="172" spans="1:27" ht="12.75" customHeight="1" x14ac:dyDescent="0.25">
      <c r="A172" s="114" t="str">
        <f t="shared" si="23"/>
        <v/>
      </c>
      <c r="B172" s="130" t="str">
        <f t="shared" si="24"/>
        <v/>
      </c>
      <c r="C172" s="130" t="str">
        <f>IFERROR(IF(ROUND(IF(totalyrs&gt;3,IF('Salary Detail'!$F$18="X",(IF(F40*(1+$K$15)^3&gt; MAXSAL,(MAXSAL*G172),(F40*G172*yr4percent*(1+$K$15)^3))),(F40*G172*yr4percent*(1+$K$15)^3)),0),0)=0,"",ROUND(IF(totalyrs&gt;3,IF('Salary Detail'!$F$18="X",(IF(F40*(1+$K$15)^3&gt; MAXSAL,(MAXSAL*G172),(F40*G172*yr4percent*(1+$K$15)^3))),(F40*G172*yr4percent*(1+$K$15)^3)),0),0)),"")</f>
        <v/>
      </c>
      <c r="D172" s="115" t="str">
        <f t="shared" si="33"/>
        <v/>
      </c>
      <c r="E172" s="266" t="str">
        <f t="shared" si="25"/>
        <v/>
      </c>
      <c r="F172" s="116" t="str">
        <f t="shared" si="26"/>
        <v/>
      </c>
      <c r="G172" s="183" t="str">
        <f t="shared" si="27"/>
        <v/>
      </c>
      <c r="H172" s="910" t="str">
        <f t="shared" si="28"/>
        <v/>
      </c>
      <c r="I172" s="939"/>
      <c r="J172" s="271" t="str">
        <f t="shared" si="29"/>
        <v/>
      </c>
      <c r="K172" s="131" t="str">
        <f>IFERROR(IF(ROUND(IF(totalyrs&gt;4,IF('Salary Detail'!$F$18="X",(IF(F40*(1+$K$15)^4&gt; MAXSAL,(MAXSAL*O172),(F40*O172*yr5percent*(1+$K$15)^4))),(F40*O172*yr5percent*(1+$K$15)^4)),0),0)=0,"",ROUND(IF(totalyrs&gt;4,IF('Salary Detail'!$F$18="X",(IF(F40*(1+$K$15)^4&gt; MAXSAL,(MAXSAL*O172),(F40*O172*yr5percent*(1+$K$15)^4))),(F40*O172*yr5percent*(1+$K$15)^4)),0),0)),"")</f>
        <v/>
      </c>
      <c r="L172" s="115" t="str">
        <f t="shared" si="34"/>
        <v/>
      </c>
      <c r="M172" s="266" t="str">
        <f t="shared" si="30"/>
        <v/>
      </c>
      <c r="N172" s="118" t="str">
        <f t="shared" si="31"/>
        <v/>
      </c>
      <c r="O172" s="185" t="str">
        <f t="shared" si="32"/>
        <v/>
      </c>
      <c r="P172" s="679"/>
      <c r="Q172" s="679"/>
      <c r="R172" s="674"/>
      <c r="S172" s="674"/>
      <c r="T172" s="674"/>
      <c r="U172" s="674"/>
      <c r="V172" s="674"/>
      <c r="W172" s="679"/>
      <c r="X172" s="679"/>
      <c r="Y172" s="674"/>
      <c r="Z172" s="674"/>
      <c r="AA172" s="674"/>
    </row>
    <row r="173" spans="1:27" ht="12.75" customHeight="1" x14ac:dyDescent="0.25">
      <c r="A173" s="114" t="str">
        <f t="shared" si="23"/>
        <v/>
      </c>
      <c r="B173" s="130" t="str">
        <f t="shared" si="24"/>
        <v/>
      </c>
      <c r="C173" s="130" t="str">
        <f>IFERROR(IF(ROUND(IF(totalyrs&gt;3,IF('Salary Detail'!$F$18="X",(IF(F41*(1+$K$15)^3&gt; MAXSAL,(MAXSAL*G173),(F41*G173*yr4percent*(1+$K$15)^3))),(F41*G173*yr4percent*(1+$K$15)^3)),0),0)=0,"",ROUND(IF(totalyrs&gt;3,IF('Salary Detail'!$F$18="X",(IF(F41*(1+$K$15)^3&gt; MAXSAL,(MAXSAL*G173),(F41*G173*yr4percent*(1+$K$15)^3))),(F41*G173*yr4percent*(1+$K$15)^3)),0),0)),"")</f>
        <v/>
      </c>
      <c r="D173" s="115" t="str">
        <f t="shared" si="33"/>
        <v/>
      </c>
      <c r="E173" s="266" t="str">
        <f t="shared" si="25"/>
        <v/>
      </c>
      <c r="F173" s="116" t="str">
        <f t="shared" si="26"/>
        <v/>
      </c>
      <c r="G173" s="183" t="str">
        <f t="shared" si="27"/>
        <v/>
      </c>
      <c r="H173" s="910" t="str">
        <f t="shared" si="28"/>
        <v/>
      </c>
      <c r="I173" s="939"/>
      <c r="J173" s="271" t="str">
        <f t="shared" si="29"/>
        <v/>
      </c>
      <c r="K173" s="131" t="str">
        <f>IFERROR(IF(ROUND(IF(totalyrs&gt;4,IF('Salary Detail'!$F$18="X",(IF(F41*(1+$K$15)^4&gt; MAXSAL,(MAXSAL*O173),(F41*O173*yr5percent*(1+$K$15)^4))),(F41*O173*yr5percent*(1+$K$15)^4)),0),0)=0,"",ROUND(IF(totalyrs&gt;4,IF('Salary Detail'!$F$18="X",(IF(F41*(1+$K$15)^4&gt; MAXSAL,(MAXSAL*O173),(F41*O173*yr5percent*(1+$K$15)^4))),(F41*O173*yr5percent*(1+$K$15)^4)),0),0)),"")</f>
        <v/>
      </c>
      <c r="L173" s="115" t="str">
        <f t="shared" si="34"/>
        <v/>
      </c>
      <c r="M173" s="266" t="str">
        <f t="shared" si="30"/>
        <v/>
      </c>
      <c r="N173" s="118" t="str">
        <f t="shared" si="31"/>
        <v/>
      </c>
      <c r="O173" s="185" t="str">
        <f t="shared" si="32"/>
        <v/>
      </c>
      <c r="P173" s="679"/>
      <c r="Q173" s="679"/>
      <c r="R173" s="674"/>
      <c r="S173" s="674"/>
      <c r="T173" s="674"/>
      <c r="U173" s="674"/>
      <c r="V173" s="674"/>
      <c r="W173" s="679"/>
      <c r="X173" s="679"/>
      <c r="Y173" s="674"/>
      <c r="Z173" s="674"/>
      <c r="AA173" s="674"/>
    </row>
    <row r="174" spans="1:27" ht="12.75" customHeight="1" x14ac:dyDescent="0.25">
      <c r="A174" s="114" t="str">
        <f t="shared" si="23"/>
        <v/>
      </c>
      <c r="B174" s="130" t="str">
        <f t="shared" si="24"/>
        <v/>
      </c>
      <c r="C174" s="130" t="str">
        <f>IFERROR(IF(ROUND(IF(totalyrs&gt;3,IF('Salary Detail'!$F$18="X",(IF(F42*(1+$K$15)^3&gt; MAXSAL,(MAXSAL*G174),(F42*G174*yr4percent*(1+$K$15)^3))),(F42*G174*yr4percent*(1+$K$15)^3)),0),0)=0,"",ROUND(IF(totalyrs&gt;3,IF('Salary Detail'!$F$18="X",(IF(F42*(1+$K$15)^3&gt; MAXSAL,(MAXSAL*G174),(F42*G174*yr4percent*(1+$K$15)^3))),(F42*G174*yr4percent*(1+$K$15)^3)),0),0)),"")</f>
        <v/>
      </c>
      <c r="D174" s="115" t="str">
        <f t="shared" si="33"/>
        <v/>
      </c>
      <c r="E174" s="266" t="str">
        <f t="shared" si="25"/>
        <v/>
      </c>
      <c r="F174" s="116" t="str">
        <f t="shared" si="26"/>
        <v/>
      </c>
      <c r="G174" s="183" t="str">
        <f t="shared" si="27"/>
        <v/>
      </c>
      <c r="H174" s="910" t="str">
        <f t="shared" si="28"/>
        <v/>
      </c>
      <c r="I174" s="939"/>
      <c r="J174" s="271" t="str">
        <f t="shared" si="29"/>
        <v/>
      </c>
      <c r="K174" s="131" t="str">
        <f>IFERROR(IF(ROUND(IF(totalyrs&gt;4,IF('Salary Detail'!$F$18="X",(IF(F42*(1+$K$15)^4&gt; MAXSAL,(MAXSAL*O174),(F42*O174*yr5percent*(1+$K$15)^4))),(F42*O174*yr5percent*(1+$K$15)^4)),0),0)=0,"",ROUND(IF(totalyrs&gt;4,IF('Salary Detail'!$F$18="X",(IF(F42*(1+$K$15)^4&gt; MAXSAL,(MAXSAL*O174),(F42*O174*yr5percent*(1+$K$15)^4))),(F42*O174*yr5percent*(1+$K$15)^4)),0),0)),"")</f>
        <v/>
      </c>
      <c r="L174" s="115" t="str">
        <f t="shared" si="34"/>
        <v/>
      </c>
      <c r="M174" s="266" t="str">
        <f t="shared" si="30"/>
        <v/>
      </c>
      <c r="N174" s="118" t="str">
        <f t="shared" si="31"/>
        <v/>
      </c>
      <c r="O174" s="185" t="str">
        <f t="shared" si="32"/>
        <v/>
      </c>
      <c r="P174" s="679"/>
      <c r="Q174" s="679"/>
      <c r="R174" s="674"/>
      <c r="S174" s="674"/>
      <c r="T174" s="674"/>
      <c r="U174" s="674"/>
      <c r="V174" s="674"/>
      <c r="W174" s="679"/>
      <c r="X174" s="679"/>
      <c r="Y174" s="674"/>
      <c r="Z174" s="674"/>
      <c r="AA174" s="674"/>
    </row>
    <row r="175" spans="1:27" ht="12.75" customHeight="1" x14ac:dyDescent="0.25">
      <c r="A175" s="114" t="str">
        <f t="shared" si="23"/>
        <v/>
      </c>
      <c r="B175" s="130" t="str">
        <f t="shared" si="24"/>
        <v/>
      </c>
      <c r="C175" s="130" t="str">
        <f>IFERROR(IF(ROUND(IF(totalyrs&gt;3,IF('Salary Detail'!$F$18="X",(IF(F43*(1+$K$15)^3&gt; MAXSAL,(MAXSAL*G175),(F43*G175*yr4percent*(1+$K$15)^3))),(F43*G175*yr4percent*(1+$K$15)^3)),0),0)=0,"",ROUND(IF(totalyrs&gt;3,IF('Salary Detail'!$F$18="X",(IF(F43*(1+$K$15)^3&gt; MAXSAL,(MAXSAL*G175),(F43*G175*yr4percent*(1+$K$15)^3))),(F43*G175*yr4percent*(1+$K$15)^3)),0),0)),"")</f>
        <v/>
      </c>
      <c r="D175" s="115" t="str">
        <f t="shared" si="33"/>
        <v/>
      </c>
      <c r="E175" s="266" t="str">
        <f t="shared" si="25"/>
        <v/>
      </c>
      <c r="F175" s="116" t="str">
        <f t="shared" si="26"/>
        <v/>
      </c>
      <c r="G175" s="183" t="str">
        <f t="shared" si="27"/>
        <v/>
      </c>
      <c r="H175" s="910" t="str">
        <f t="shared" si="28"/>
        <v/>
      </c>
      <c r="I175" s="939"/>
      <c r="J175" s="271" t="str">
        <f t="shared" si="29"/>
        <v/>
      </c>
      <c r="K175" s="131" t="str">
        <f>IFERROR(IF(ROUND(IF(totalyrs&gt;4,IF('Salary Detail'!$F$18="X",(IF(F43*(1+$K$15)^4&gt; MAXSAL,(MAXSAL*O175),(F43*O175*yr5percent*(1+$K$15)^4))),(F43*O175*yr5percent*(1+$K$15)^4)),0),0)=0,"",ROUND(IF(totalyrs&gt;4,IF('Salary Detail'!$F$18="X",(IF(F43*(1+$K$15)^4&gt; MAXSAL,(MAXSAL*O175),(F43*O175*yr5percent*(1+$K$15)^4))),(F43*O175*yr5percent*(1+$K$15)^4)),0),0)),"")</f>
        <v/>
      </c>
      <c r="L175" s="115" t="str">
        <f t="shared" si="34"/>
        <v/>
      </c>
      <c r="M175" s="266" t="str">
        <f t="shared" si="30"/>
        <v/>
      </c>
      <c r="N175" s="118" t="str">
        <f t="shared" si="31"/>
        <v/>
      </c>
      <c r="O175" s="185" t="str">
        <f t="shared" si="32"/>
        <v/>
      </c>
      <c r="P175" s="679"/>
      <c r="Q175" s="679"/>
      <c r="R175" s="674"/>
      <c r="S175" s="674"/>
      <c r="T175" s="674"/>
      <c r="U175" s="674"/>
      <c r="V175" s="674"/>
      <c r="W175" s="679"/>
      <c r="X175" s="679"/>
      <c r="Y175" s="674"/>
      <c r="Z175" s="674"/>
      <c r="AA175" s="674"/>
    </row>
    <row r="176" spans="1:27" ht="12.75" customHeight="1" x14ac:dyDescent="0.25">
      <c r="A176" s="114" t="str">
        <f t="shared" si="23"/>
        <v/>
      </c>
      <c r="B176" s="130" t="str">
        <f t="shared" si="24"/>
        <v/>
      </c>
      <c r="C176" s="130" t="str">
        <f>IFERROR(IF(ROUND(IF(totalyrs&gt;3,IF('Salary Detail'!$F$18="X",(IF(F44*(1+$K$15)^3&gt; MAXSAL,(MAXSAL*G176),(F44*G176*yr4percent*(1+$K$15)^3))),(F44*G176*yr4percent*(1+$K$15)^3)),0),0)=0,"",ROUND(IF(totalyrs&gt;3,IF('Salary Detail'!$F$18="X",(IF(F44*(1+$K$15)^3&gt; MAXSAL,(MAXSAL*G176),(F44*G176*yr4percent*(1+$K$15)^3))),(F44*G176*yr4percent*(1+$K$15)^3)),0),0)),"")</f>
        <v/>
      </c>
      <c r="D176" s="115" t="str">
        <f t="shared" si="33"/>
        <v/>
      </c>
      <c r="E176" s="266" t="str">
        <f t="shared" si="25"/>
        <v/>
      </c>
      <c r="F176" s="116" t="str">
        <f t="shared" si="26"/>
        <v/>
      </c>
      <c r="G176" s="183" t="str">
        <f t="shared" si="27"/>
        <v/>
      </c>
      <c r="H176" s="910" t="str">
        <f t="shared" si="28"/>
        <v/>
      </c>
      <c r="I176" s="939"/>
      <c r="J176" s="271" t="str">
        <f t="shared" si="29"/>
        <v/>
      </c>
      <c r="K176" s="131" t="str">
        <f>IFERROR(IF(ROUND(IF(totalyrs&gt;4,IF('Salary Detail'!$F$18="X",(IF(F44*(1+$K$15)^4&gt; MAXSAL,(MAXSAL*O176),(F44*O176*yr5percent*(1+$K$15)^4))),(F44*O176*yr5percent*(1+$K$15)^4)),0),0)=0,"",ROUND(IF(totalyrs&gt;4,IF('Salary Detail'!$F$18="X",(IF(F44*(1+$K$15)^4&gt; MAXSAL,(MAXSAL*O176),(F44*O176*yr5percent*(1+$K$15)^4))),(F44*O176*yr5percent*(1+$K$15)^4)),0),0)),"")</f>
        <v/>
      </c>
      <c r="L176" s="115" t="str">
        <f t="shared" si="34"/>
        <v/>
      </c>
      <c r="M176" s="266" t="str">
        <f t="shared" si="30"/>
        <v/>
      </c>
      <c r="N176" s="118" t="str">
        <f t="shared" si="31"/>
        <v/>
      </c>
      <c r="O176" s="185" t="str">
        <f t="shared" si="32"/>
        <v/>
      </c>
      <c r="P176" s="679"/>
      <c r="Q176" s="679"/>
      <c r="R176" s="674"/>
      <c r="S176" s="674"/>
      <c r="T176" s="674"/>
      <c r="U176" s="674"/>
      <c r="V176" s="674"/>
      <c r="W176" s="679"/>
      <c r="X176" s="679"/>
      <c r="Y176" s="674"/>
      <c r="Z176" s="674"/>
      <c r="AA176" s="674"/>
    </row>
    <row r="177" spans="1:27" ht="12.75" customHeight="1" x14ac:dyDescent="0.25">
      <c r="A177" s="114" t="str">
        <f t="shared" si="23"/>
        <v/>
      </c>
      <c r="B177" s="130" t="str">
        <f t="shared" si="24"/>
        <v/>
      </c>
      <c r="C177" s="130" t="str">
        <f>IFERROR(IF(ROUND(IF(totalyrs&gt;3,IF('Salary Detail'!$F$18="X",(IF(F45*(1+$K$15)^3&gt; MAXSAL,(MAXSAL*G177),(F45*G177*yr4percent*(1+$K$15)^3))),(F45*G177*yr4percent*(1+$K$15)^3)),0),0)=0,"",ROUND(IF(totalyrs&gt;3,IF('Salary Detail'!$F$18="X",(IF(F45*(1+$K$15)^3&gt; MAXSAL,(MAXSAL*G177),(F45*G177*yr4percent*(1+$K$15)^3))),(F45*G177*yr4percent*(1+$K$15)^3)),0),0)),"")</f>
        <v/>
      </c>
      <c r="D177" s="115" t="str">
        <f t="shared" si="33"/>
        <v/>
      </c>
      <c r="E177" s="266" t="str">
        <f t="shared" si="25"/>
        <v/>
      </c>
      <c r="F177" s="116" t="str">
        <f t="shared" si="26"/>
        <v/>
      </c>
      <c r="G177" s="183" t="str">
        <f t="shared" si="27"/>
        <v/>
      </c>
      <c r="H177" s="910" t="str">
        <f t="shared" si="28"/>
        <v/>
      </c>
      <c r="I177" s="939"/>
      <c r="J177" s="271" t="str">
        <f t="shared" si="29"/>
        <v/>
      </c>
      <c r="K177" s="131" t="str">
        <f>IFERROR(IF(ROUND(IF(totalyrs&gt;4,IF('Salary Detail'!$F$18="X",(IF(F45*(1+$K$15)^4&gt; MAXSAL,(MAXSAL*O177),(F45*O177*yr5percent*(1+$K$15)^4))),(F45*O177*yr5percent*(1+$K$15)^4)),0),0)=0,"",ROUND(IF(totalyrs&gt;4,IF('Salary Detail'!$F$18="X",(IF(F45*(1+$K$15)^4&gt; MAXSAL,(MAXSAL*O177),(F45*O177*yr5percent*(1+$K$15)^4))),(F45*O177*yr5percent*(1+$K$15)^4)),0),0)),"")</f>
        <v/>
      </c>
      <c r="L177" s="115" t="str">
        <f t="shared" si="34"/>
        <v/>
      </c>
      <c r="M177" s="266" t="str">
        <f t="shared" si="30"/>
        <v/>
      </c>
      <c r="N177" s="118" t="str">
        <f t="shared" si="31"/>
        <v/>
      </c>
      <c r="O177" s="185" t="str">
        <f t="shared" si="32"/>
        <v/>
      </c>
      <c r="P177" s="679"/>
      <c r="Q177" s="679"/>
      <c r="R177" s="674"/>
      <c r="S177" s="674"/>
      <c r="T177" s="674"/>
      <c r="U177" s="674"/>
      <c r="V177" s="674"/>
      <c r="W177" s="679"/>
      <c r="X177" s="679"/>
      <c r="Y177" s="674"/>
      <c r="Z177" s="674"/>
      <c r="AA177" s="674"/>
    </row>
    <row r="178" spans="1:27" ht="12.75" customHeight="1" x14ac:dyDescent="0.25">
      <c r="A178" s="114" t="str">
        <f t="shared" si="23"/>
        <v/>
      </c>
      <c r="B178" s="130" t="str">
        <f t="shared" si="24"/>
        <v/>
      </c>
      <c r="C178" s="130" t="str">
        <f>IFERROR(IF(ROUND(IF(totalyrs&gt;3,IF('Salary Detail'!$F$18="X",(IF(F46*(1+$K$15)^3&gt; MAXSAL,(MAXSAL*G178),(F46*G178*yr4percent*(1+$K$15)^3))),(F46*G178*yr4percent*(1+$K$15)^3)),0),0)=0,"",ROUND(IF(totalyrs&gt;3,IF('Salary Detail'!$F$18="X",(IF(F46*(1+$K$15)^3&gt; MAXSAL,(MAXSAL*G178),(F46*G178*yr4percent*(1+$K$15)^3))),(F46*G178*yr4percent*(1+$K$15)^3)),0),0)),"")</f>
        <v/>
      </c>
      <c r="D178" s="115" t="str">
        <f t="shared" si="33"/>
        <v/>
      </c>
      <c r="E178" s="266" t="str">
        <f t="shared" si="25"/>
        <v/>
      </c>
      <c r="F178" s="116" t="str">
        <f t="shared" si="26"/>
        <v/>
      </c>
      <c r="G178" s="183" t="str">
        <f t="shared" si="27"/>
        <v/>
      </c>
      <c r="H178" s="910" t="str">
        <f t="shared" si="28"/>
        <v/>
      </c>
      <c r="I178" s="939"/>
      <c r="J178" s="271" t="str">
        <f t="shared" si="29"/>
        <v/>
      </c>
      <c r="K178" s="131" t="str">
        <f>IFERROR(IF(ROUND(IF(totalyrs&gt;4,IF('Salary Detail'!$F$18="X",(IF(F46*(1+$K$15)^4&gt; MAXSAL,(MAXSAL*O178),(F46*O178*yr5percent*(1+$K$15)^4))),(F46*O178*yr5percent*(1+$K$15)^4)),0),0)=0,"",ROUND(IF(totalyrs&gt;4,IF('Salary Detail'!$F$18="X",(IF(F46*(1+$K$15)^4&gt; MAXSAL,(MAXSAL*O178),(F46*O178*yr5percent*(1+$K$15)^4))),(F46*O178*yr5percent*(1+$K$15)^4)),0),0)),"")</f>
        <v/>
      </c>
      <c r="L178" s="115" t="str">
        <f t="shared" si="34"/>
        <v/>
      </c>
      <c r="M178" s="266" t="str">
        <f t="shared" si="30"/>
        <v/>
      </c>
      <c r="N178" s="118" t="str">
        <f t="shared" si="31"/>
        <v/>
      </c>
      <c r="O178" s="185" t="str">
        <f t="shared" si="32"/>
        <v/>
      </c>
      <c r="P178" s="679"/>
      <c r="Q178" s="679"/>
      <c r="R178" s="674"/>
      <c r="S178" s="674"/>
      <c r="T178" s="674"/>
      <c r="U178" s="674"/>
      <c r="V178" s="674"/>
      <c r="W178" s="679"/>
      <c r="X178" s="679"/>
      <c r="Y178" s="674"/>
      <c r="Z178" s="674"/>
      <c r="AA178" s="674"/>
    </row>
    <row r="179" spans="1:27" ht="12.75" customHeight="1" x14ac:dyDescent="0.25">
      <c r="A179" s="114" t="str">
        <f t="shared" si="23"/>
        <v/>
      </c>
      <c r="B179" s="130" t="str">
        <f t="shared" si="24"/>
        <v/>
      </c>
      <c r="C179" s="130" t="str">
        <f>IFERROR(IF(ROUND(IF(totalyrs&gt;3,IF('Salary Detail'!$F$18="X",(IF(F47*(1+$K$15)^3&gt; MAXSAL,(MAXSAL*G179),(F47*G179*yr4percent*(1+$K$15)^3))),(F47*G179*yr4percent*(1+$K$15)^3)),0),0)=0,"",ROUND(IF(totalyrs&gt;3,IF('Salary Detail'!$F$18="X",(IF(F47*(1+$K$15)^3&gt; MAXSAL,(MAXSAL*G179),(F47*G179*yr4percent*(1+$K$15)^3))),(F47*G179*yr4percent*(1+$K$15)^3)),0),0)),"")</f>
        <v/>
      </c>
      <c r="D179" s="115" t="str">
        <f t="shared" si="33"/>
        <v/>
      </c>
      <c r="E179" s="266" t="str">
        <f t="shared" si="25"/>
        <v/>
      </c>
      <c r="F179" s="116" t="str">
        <f t="shared" si="26"/>
        <v/>
      </c>
      <c r="G179" s="183" t="str">
        <f t="shared" si="27"/>
        <v/>
      </c>
      <c r="H179" s="910" t="str">
        <f t="shared" si="28"/>
        <v/>
      </c>
      <c r="I179" s="939"/>
      <c r="J179" s="271" t="str">
        <f t="shared" si="29"/>
        <v/>
      </c>
      <c r="K179" s="131" t="str">
        <f>IFERROR(IF(ROUND(IF(totalyrs&gt;4,IF('Salary Detail'!$F$18="X",(IF(F47*(1+$K$15)^4&gt; MAXSAL,(MAXSAL*O179),(F47*O179*yr5percent*(1+$K$15)^4))),(F47*O179*yr5percent*(1+$K$15)^4)),0),0)=0,"",ROUND(IF(totalyrs&gt;4,IF('Salary Detail'!$F$18="X",(IF(F47*(1+$K$15)^4&gt; MAXSAL,(MAXSAL*O179),(F47*O179*yr5percent*(1+$K$15)^4))),(F47*O179*yr5percent*(1+$K$15)^4)),0),0)),"")</f>
        <v/>
      </c>
      <c r="L179" s="115" t="str">
        <f t="shared" si="34"/>
        <v/>
      </c>
      <c r="M179" s="266" t="str">
        <f t="shared" si="30"/>
        <v/>
      </c>
      <c r="N179" s="118" t="str">
        <f t="shared" si="31"/>
        <v/>
      </c>
      <c r="O179" s="185" t="str">
        <f t="shared" si="32"/>
        <v/>
      </c>
      <c r="P179" s="679"/>
      <c r="Q179" s="679"/>
      <c r="R179" s="674"/>
      <c r="S179" s="674"/>
      <c r="T179" s="674"/>
      <c r="U179" s="674"/>
      <c r="V179" s="674"/>
      <c r="W179" s="679"/>
      <c r="X179" s="679"/>
      <c r="Y179" s="674"/>
      <c r="Z179" s="674"/>
      <c r="AA179" s="674"/>
    </row>
    <row r="180" spans="1:27" ht="12.75" customHeight="1" x14ac:dyDescent="0.25">
      <c r="A180" s="114" t="str">
        <f t="shared" si="23"/>
        <v/>
      </c>
      <c r="B180" s="130" t="str">
        <f t="shared" si="24"/>
        <v/>
      </c>
      <c r="C180" s="130" t="str">
        <f>IFERROR(IF(ROUND(IF(totalyrs&gt;3,IF('Salary Detail'!$F$18="X",(IF(F48*(1+$K$15)^3&gt; MAXSAL,(MAXSAL*G180),(F48*G180*yr4percent*(1+$K$15)^3))),(F48*G180*yr4percent*(1+$K$15)^3)),0),0)=0,"",ROUND(IF(totalyrs&gt;3,IF('Salary Detail'!$F$18="X",(IF(F48*(1+$K$15)^3&gt; MAXSAL,(MAXSAL*G180),(F48*G180*yr4percent*(1+$K$15)^3))),(F48*G180*yr4percent*(1+$K$15)^3)),0),0)),"")</f>
        <v/>
      </c>
      <c r="D180" s="115" t="str">
        <f t="shared" si="33"/>
        <v/>
      </c>
      <c r="E180" s="266" t="str">
        <f t="shared" si="25"/>
        <v/>
      </c>
      <c r="F180" s="116" t="str">
        <f t="shared" si="26"/>
        <v/>
      </c>
      <c r="G180" s="183" t="str">
        <f t="shared" si="27"/>
        <v/>
      </c>
      <c r="H180" s="910" t="str">
        <f t="shared" si="28"/>
        <v/>
      </c>
      <c r="I180" s="939"/>
      <c r="J180" s="271" t="str">
        <f t="shared" si="29"/>
        <v/>
      </c>
      <c r="K180" s="131" t="str">
        <f>IFERROR(IF(ROUND(IF(totalyrs&gt;4,IF('Salary Detail'!$F$18="X",(IF(F48*(1+$K$15)^4&gt; MAXSAL,(MAXSAL*O180),(F48*O180*yr5percent*(1+$K$15)^4))),(F48*O180*yr5percent*(1+$K$15)^4)),0),0)=0,"",ROUND(IF(totalyrs&gt;4,IF('Salary Detail'!$F$18="X",(IF(F48*(1+$K$15)^4&gt; MAXSAL,(MAXSAL*O180),(F48*O180*yr5percent*(1+$K$15)^4))),(F48*O180*yr5percent*(1+$K$15)^4)),0),0)),"")</f>
        <v/>
      </c>
      <c r="L180" s="115" t="str">
        <f t="shared" si="34"/>
        <v/>
      </c>
      <c r="M180" s="266" t="str">
        <f t="shared" si="30"/>
        <v/>
      </c>
      <c r="N180" s="118" t="str">
        <f t="shared" si="31"/>
        <v/>
      </c>
      <c r="O180" s="185" t="str">
        <f t="shared" si="32"/>
        <v/>
      </c>
      <c r="P180" s="679"/>
      <c r="Q180" s="679"/>
      <c r="R180" s="674"/>
      <c r="S180" s="674"/>
      <c r="T180" s="674"/>
      <c r="U180" s="674"/>
      <c r="V180" s="674"/>
      <c r="W180" s="679"/>
      <c r="X180" s="679"/>
      <c r="Y180" s="674"/>
      <c r="Z180" s="674"/>
      <c r="AA180" s="674"/>
    </row>
    <row r="181" spans="1:27" ht="12.75" customHeight="1" x14ac:dyDescent="0.25">
      <c r="A181" s="114" t="str">
        <f t="shared" si="23"/>
        <v/>
      </c>
      <c r="B181" s="130" t="str">
        <f t="shared" si="24"/>
        <v/>
      </c>
      <c r="C181" s="130" t="str">
        <f>IFERROR(IF(ROUND(IF(totalyrs&gt;3,IF('Salary Detail'!$F$18="X",(IF(F49*(1+$K$15)^3&gt; MAXSAL,(MAXSAL*G181),(F49*G181*yr4percent*(1+$K$15)^3))),(F49*G181*yr4percent*(1+$K$15)^3)),0),0)=0,"",ROUND(IF(totalyrs&gt;3,IF('Salary Detail'!$F$18="X",(IF(F49*(1+$K$15)^3&gt; MAXSAL,(MAXSAL*G181),(F49*G181*yr4percent*(1+$K$15)^3))),(F49*G181*yr4percent*(1+$K$15)^3)),0),0)),"")</f>
        <v/>
      </c>
      <c r="D181" s="115" t="str">
        <f t="shared" si="33"/>
        <v/>
      </c>
      <c r="E181" s="266" t="str">
        <f t="shared" si="25"/>
        <v/>
      </c>
      <c r="F181" s="116" t="str">
        <f t="shared" si="26"/>
        <v/>
      </c>
      <c r="G181" s="183" t="str">
        <f t="shared" si="27"/>
        <v/>
      </c>
      <c r="H181" s="910" t="str">
        <f t="shared" si="28"/>
        <v/>
      </c>
      <c r="I181" s="939"/>
      <c r="J181" s="271" t="str">
        <f t="shared" si="29"/>
        <v/>
      </c>
      <c r="K181" s="131" t="str">
        <f>IFERROR(IF(ROUND(IF(totalyrs&gt;4,IF('Salary Detail'!$F$18="X",(IF(F49*(1+$K$15)^4&gt; MAXSAL,(MAXSAL*O181),(F49*O181*yr5percent*(1+$K$15)^4))),(F49*O181*yr5percent*(1+$K$15)^4)),0),0)=0,"",ROUND(IF(totalyrs&gt;4,IF('Salary Detail'!$F$18="X",(IF(F49*(1+$K$15)^4&gt; MAXSAL,(MAXSAL*O181),(F49*O181*yr5percent*(1+$K$15)^4))),(F49*O181*yr5percent*(1+$K$15)^4)),0),0)),"")</f>
        <v/>
      </c>
      <c r="L181" s="115" t="str">
        <f t="shared" si="34"/>
        <v/>
      </c>
      <c r="M181" s="266" t="str">
        <f t="shared" si="30"/>
        <v/>
      </c>
      <c r="N181" s="118" t="str">
        <f t="shared" si="31"/>
        <v/>
      </c>
      <c r="O181" s="185" t="str">
        <f t="shared" si="32"/>
        <v/>
      </c>
      <c r="P181" s="679"/>
      <c r="Q181" s="679"/>
      <c r="R181" s="674"/>
      <c r="S181" s="674"/>
      <c r="T181" s="674"/>
      <c r="U181" s="674"/>
      <c r="V181" s="674"/>
      <c r="W181" s="679"/>
      <c r="X181" s="679"/>
      <c r="Y181" s="674"/>
      <c r="Z181" s="674"/>
      <c r="AA181" s="674"/>
    </row>
    <row r="182" spans="1:27" ht="12.75" customHeight="1" x14ac:dyDescent="0.25">
      <c r="A182" s="114" t="str">
        <f t="shared" si="23"/>
        <v/>
      </c>
      <c r="B182" s="130" t="str">
        <f t="shared" si="24"/>
        <v/>
      </c>
      <c r="C182" s="130" t="str">
        <f>IFERROR(IF(ROUND(IF(totalyrs&gt;3,IF('Salary Detail'!$F$18="X",(IF(F50*(1+$K$15)^3&gt; MAXSAL,(MAXSAL*G182),(F50*G182*yr4percent*(1+$K$15)^3))),(F50*G182*yr4percent*(1+$K$15)^3)),0),0)=0,"",ROUND(IF(totalyrs&gt;3,IF('Salary Detail'!$F$18="X",(IF(F50*(1+$K$15)^3&gt; MAXSAL,(MAXSAL*G182),(F50*G182*yr4percent*(1+$K$15)^3))),(F50*G182*yr4percent*(1+$K$15)^3)),0),0)),"")</f>
        <v/>
      </c>
      <c r="D182" s="115" t="str">
        <f t="shared" si="33"/>
        <v/>
      </c>
      <c r="E182" s="266" t="str">
        <f t="shared" si="25"/>
        <v/>
      </c>
      <c r="F182" s="116" t="str">
        <f t="shared" si="26"/>
        <v/>
      </c>
      <c r="G182" s="183" t="str">
        <f t="shared" si="27"/>
        <v/>
      </c>
      <c r="H182" s="910" t="str">
        <f t="shared" si="28"/>
        <v/>
      </c>
      <c r="I182" s="939"/>
      <c r="J182" s="271" t="str">
        <f t="shared" si="29"/>
        <v/>
      </c>
      <c r="K182" s="131" t="str">
        <f>IFERROR(IF(ROUND(IF(totalyrs&gt;4,IF('Salary Detail'!$F$18="X",(IF(F50*(1+$K$15)^4&gt; MAXSAL,(MAXSAL*O182),(F50*O182*yr5percent*(1+$K$15)^4))),(F50*O182*yr5percent*(1+$K$15)^4)),0),0)=0,"",ROUND(IF(totalyrs&gt;4,IF('Salary Detail'!$F$18="X",(IF(F50*(1+$K$15)^4&gt; MAXSAL,(MAXSAL*O182),(F50*O182*yr5percent*(1+$K$15)^4))),(F50*O182*yr5percent*(1+$K$15)^4)),0),0)),"")</f>
        <v/>
      </c>
      <c r="L182" s="115" t="str">
        <f t="shared" si="34"/>
        <v/>
      </c>
      <c r="M182" s="266" t="str">
        <f t="shared" si="30"/>
        <v/>
      </c>
      <c r="N182" s="118" t="str">
        <f t="shared" si="31"/>
        <v/>
      </c>
      <c r="O182" s="185" t="str">
        <f t="shared" si="32"/>
        <v/>
      </c>
      <c r="P182" s="679"/>
      <c r="Q182" s="679"/>
      <c r="R182" s="674"/>
      <c r="S182" s="674"/>
      <c r="T182" s="674"/>
      <c r="U182" s="674"/>
      <c r="V182" s="674"/>
      <c r="W182" s="679"/>
      <c r="X182" s="679"/>
      <c r="Y182" s="674"/>
      <c r="Z182" s="674"/>
      <c r="AA182" s="674"/>
    </row>
    <row r="183" spans="1:27" ht="12.75" customHeight="1" x14ac:dyDescent="0.25">
      <c r="A183" s="114" t="str">
        <f t="shared" si="23"/>
        <v/>
      </c>
      <c r="B183" s="130" t="str">
        <f t="shared" si="24"/>
        <v/>
      </c>
      <c r="C183" s="130" t="str">
        <f>IFERROR(IF(ROUND(IF(totalyrs&gt;3,IF('Salary Detail'!$F$18="X",(IF(F51*(1+$K$15)^3&gt; MAXSAL,(MAXSAL*G183),(F51*G183*yr4percent*(1+$K$15)^3))),(F51*G183*yr4percent*(1+$K$15)^3)),0),0)=0,"",ROUND(IF(totalyrs&gt;3,IF('Salary Detail'!$F$18="X",(IF(F51*(1+$K$15)^3&gt; MAXSAL,(MAXSAL*G183),(F51*G183*yr4percent*(1+$K$15)^3))),(F51*G183*yr4percent*(1+$K$15)^3)),0),0)),"")</f>
        <v/>
      </c>
      <c r="D183" s="115" t="str">
        <f t="shared" si="33"/>
        <v/>
      </c>
      <c r="E183" s="266" t="str">
        <f t="shared" si="25"/>
        <v/>
      </c>
      <c r="F183" s="116" t="str">
        <f t="shared" si="26"/>
        <v/>
      </c>
      <c r="G183" s="183" t="str">
        <f t="shared" si="27"/>
        <v/>
      </c>
      <c r="H183" s="910" t="str">
        <f t="shared" si="28"/>
        <v/>
      </c>
      <c r="I183" s="939"/>
      <c r="J183" s="271" t="str">
        <f t="shared" si="29"/>
        <v/>
      </c>
      <c r="K183" s="131" t="str">
        <f>IFERROR(IF(ROUND(IF(totalyrs&gt;4,IF('Salary Detail'!$F$18="X",(IF(F51*(1+$K$15)^4&gt; MAXSAL,(MAXSAL*O183),(F51*O183*yr5percent*(1+$K$15)^4))),(F51*O183*yr5percent*(1+$K$15)^4)),0),0)=0,"",ROUND(IF(totalyrs&gt;4,IF('Salary Detail'!$F$18="X",(IF(F51*(1+$K$15)^4&gt; MAXSAL,(MAXSAL*O183),(F51*O183*yr5percent*(1+$K$15)^4))),(F51*O183*yr5percent*(1+$K$15)^4)),0),0)),"")</f>
        <v/>
      </c>
      <c r="L183" s="115" t="str">
        <f t="shared" si="34"/>
        <v/>
      </c>
      <c r="M183" s="266" t="str">
        <f t="shared" si="30"/>
        <v/>
      </c>
      <c r="N183" s="118" t="str">
        <f t="shared" si="31"/>
        <v/>
      </c>
      <c r="O183" s="185" t="str">
        <f t="shared" si="32"/>
        <v/>
      </c>
      <c r="P183" s="679"/>
      <c r="Q183" s="679"/>
      <c r="R183" s="674"/>
      <c r="S183" s="674"/>
      <c r="T183" s="674"/>
      <c r="U183" s="674"/>
      <c r="V183" s="674"/>
      <c r="W183" s="679"/>
      <c r="X183" s="679"/>
      <c r="Y183" s="674"/>
      <c r="Z183" s="674"/>
      <c r="AA183" s="674"/>
    </row>
    <row r="184" spans="1:27" ht="12.75" customHeight="1" x14ac:dyDescent="0.25">
      <c r="A184" s="114" t="str">
        <f t="shared" si="23"/>
        <v/>
      </c>
      <c r="B184" s="130" t="str">
        <f t="shared" si="24"/>
        <v/>
      </c>
      <c r="C184" s="130" t="str">
        <f>IFERROR(IF(ROUND(IF(totalyrs&gt;3,IF('Salary Detail'!$F$18="X",(IF(F52*(1+$K$15)^3&gt; MAXSAL,(MAXSAL*G184),(F52*G184*yr4percent*(1+$K$15)^3))),(F52*G184*yr4percent*(1+$K$15)^3)),0),0)=0,"",ROUND(IF(totalyrs&gt;3,IF('Salary Detail'!$F$18="X",(IF(F52*(1+$K$15)^3&gt; MAXSAL,(MAXSAL*G184),(F52*G184*yr4percent*(1+$K$15)^3))),(F52*G184*yr4percent*(1+$K$15)^3)),0),0)),"")</f>
        <v/>
      </c>
      <c r="D184" s="115" t="str">
        <f t="shared" si="33"/>
        <v/>
      </c>
      <c r="E184" s="266" t="str">
        <f t="shared" si="25"/>
        <v/>
      </c>
      <c r="F184" s="116" t="str">
        <f t="shared" si="26"/>
        <v/>
      </c>
      <c r="G184" s="183" t="str">
        <f t="shared" si="27"/>
        <v/>
      </c>
      <c r="H184" s="910" t="str">
        <f t="shared" si="28"/>
        <v/>
      </c>
      <c r="I184" s="939"/>
      <c r="J184" s="271" t="str">
        <f t="shared" si="29"/>
        <v/>
      </c>
      <c r="K184" s="131" t="str">
        <f>IFERROR(IF(ROUND(IF(totalyrs&gt;4,IF('Salary Detail'!$F$18="X",(IF(F52*(1+$K$15)^4&gt; MAXSAL,(MAXSAL*O184),(F52*O184*yr5percent*(1+$K$15)^4))),(F52*O184*yr5percent*(1+$K$15)^4)),0),0)=0,"",ROUND(IF(totalyrs&gt;4,IF('Salary Detail'!$F$18="X",(IF(F52*(1+$K$15)^4&gt; MAXSAL,(MAXSAL*O184),(F52*O184*yr5percent*(1+$K$15)^4))),(F52*O184*yr5percent*(1+$K$15)^4)),0),0)),"")</f>
        <v/>
      </c>
      <c r="L184" s="115" t="str">
        <f t="shared" si="34"/>
        <v/>
      </c>
      <c r="M184" s="266" t="str">
        <f t="shared" si="30"/>
        <v/>
      </c>
      <c r="N184" s="118" t="str">
        <f t="shared" si="31"/>
        <v/>
      </c>
      <c r="O184" s="185" t="str">
        <f t="shared" si="32"/>
        <v/>
      </c>
      <c r="P184" s="679"/>
      <c r="Q184" s="679"/>
      <c r="R184" s="674"/>
      <c r="S184" s="674"/>
      <c r="T184" s="674"/>
      <c r="U184" s="674"/>
      <c r="V184" s="674"/>
      <c r="W184" s="679"/>
      <c r="X184" s="679"/>
      <c r="Y184" s="674"/>
      <c r="Z184" s="674"/>
      <c r="AA184" s="674"/>
    </row>
    <row r="185" spans="1:27" ht="12.75" customHeight="1" x14ac:dyDescent="0.25">
      <c r="A185" s="114" t="str">
        <f t="shared" si="23"/>
        <v/>
      </c>
      <c r="B185" s="130" t="str">
        <f t="shared" si="24"/>
        <v/>
      </c>
      <c r="C185" s="130" t="str">
        <f>IFERROR(IF(ROUND(IF(totalyrs&gt;3,IF('Salary Detail'!$F$18="X",(IF(F53*(1+$K$15)^3&gt; MAXSAL,(MAXSAL*G185),(F53*G185*yr4percent*(1+$K$15)^3))),(F53*G185*yr4percent*(1+$K$15)^3)),0),0)=0,"",ROUND(IF(totalyrs&gt;3,IF('Salary Detail'!$F$18="X",(IF(F53*(1+$K$15)^3&gt; MAXSAL,(MAXSAL*G185),(F53*G185*yr4percent*(1+$K$15)^3))),(F53*G185*yr4percent*(1+$K$15)^3)),0),0)),"")</f>
        <v/>
      </c>
      <c r="D185" s="115" t="str">
        <f t="shared" si="33"/>
        <v/>
      </c>
      <c r="E185" s="266" t="str">
        <f t="shared" si="25"/>
        <v/>
      </c>
      <c r="F185" s="116" t="str">
        <f t="shared" si="26"/>
        <v/>
      </c>
      <c r="G185" s="183" t="str">
        <f t="shared" si="27"/>
        <v/>
      </c>
      <c r="H185" s="910" t="str">
        <f t="shared" si="28"/>
        <v/>
      </c>
      <c r="I185" s="939"/>
      <c r="J185" s="271" t="str">
        <f t="shared" si="29"/>
        <v/>
      </c>
      <c r="K185" s="131" t="str">
        <f>IFERROR(IF(ROUND(IF(totalyrs&gt;4,IF('Salary Detail'!$F$18="X",(IF(F53*(1+$K$15)^4&gt; MAXSAL,(MAXSAL*O185),(F53*O185*yr5percent*(1+$K$15)^4))),(F53*O185*yr5percent*(1+$K$15)^4)),0),0)=0,"",ROUND(IF(totalyrs&gt;4,IF('Salary Detail'!$F$18="X",(IF(F53*(1+$K$15)^4&gt; MAXSAL,(MAXSAL*O185),(F53*O185*yr5percent*(1+$K$15)^4))),(F53*O185*yr5percent*(1+$K$15)^4)),0),0)),"")</f>
        <v/>
      </c>
      <c r="L185" s="115" t="str">
        <f t="shared" si="34"/>
        <v/>
      </c>
      <c r="M185" s="266" t="str">
        <f t="shared" si="30"/>
        <v/>
      </c>
      <c r="N185" s="118" t="str">
        <f t="shared" si="31"/>
        <v/>
      </c>
      <c r="O185" s="185" t="str">
        <f t="shared" si="32"/>
        <v/>
      </c>
      <c r="P185" s="679"/>
      <c r="Q185" s="679"/>
      <c r="R185" s="674"/>
      <c r="S185" s="674"/>
      <c r="T185" s="674"/>
      <c r="U185" s="674"/>
      <c r="V185" s="674"/>
      <c r="W185" s="679"/>
      <c r="X185" s="679"/>
      <c r="Y185" s="674"/>
      <c r="Z185" s="674"/>
      <c r="AA185" s="674"/>
    </row>
    <row r="186" spans="1:27" ht="12.75" customHeight="1" x14ac:dyDescent="0.25">
      <c r="A186" s="114" t="str">
        <f t="shared" si="23"/>
        <v/>
      </c>
      <c r="B186" s="130" t="str">
        <f t="shared" si="24"/>
        <v/>
      </c>
      <c r="C186" s="130" t="str">
        <f>IFERROR(IF(ROUND(IF(totalyrs&gt;3,IF('Salary Detail'!$F$18="X",(IF(F54*(1+$K$15)^3&gt; MAXSAL,(MAXSAL*G186),(F54*G186*yr4percent*(1+$K$15)^3))),(F54*G186*yr4percent*(1+$K$15)^3)),0),0)=0,"",ROUND(IF(totalyrs&gt;3,IF('Salary Detail'!$F$18="X",(IF(F54*(1+$K$15)^3&gt; MAXSAL,(MAXSAL*G186),(F54*G186*yr4percent*(1+$K$15)^3))),(F54*G186*yr4percent*(1+$K$15)^3)),0),0)),"")</f>
        <v/>
      </c>
      <c r="D186" s="115" t="str">
        <f t="shared" si="33"/>
        <v/>
      </c>
      <c r="E186" s="266" t="str">
        <f t="shared" si="25"/>
        <v/>
      </c>
      <c r="F186" s="116" t="str">
        <f t="shared" si="26"/>
        <v/>
      </c>
      <c r="G186" s="183" t="str">
        <f t="shared" si="27"/>
        <v/>
      </c>
      <c r="H186" s="910" t="str">
        <f t="shared" si="28"/>
        <v/>
      </c>
      <c r="I186" s="939"/>
      <c r="J186" s="271" t="str">
        <f t="shared" si="29"/>
        <v/>
      </c>
      <c r="K186" s="131" t="str">
        <f>IFERROR(IF(ROUND(IF(totalyrs&gt;4,IF('Salary Detail'!$F$18="X",(IF(F54*(1+$K$15)^4&gt; MAXSAL,(MAXSAL*O186),(F54*O186*yr5percent*(1+$K$15)^4))),(F54*O186*yr5percent*(1+$K$15)^4)),0),0)=0,"",ROUND(IF(totalyrs&gt;4,IF('Salary Detail'!$F$18="X",(IF(F54*(1+$K$15)^4&gt; MAXSAL,(MAXSAL*O186),(F54*O186*yr5percent*(1+$K$15)^4))),(F54*O186*yr5percent*(1+$K$15)^4)),0),0)),"")</f>
        <v/>
      </c>
      <c r="L186" s="115" t="str">
        <f t="shared" si="34"/>
        <v/>
      </c>
      <c r="M186" s="266" t="str">
        <f t="shared" si="30"/>
        <v/>
      </c>
      <c r="N186" s="118" t="str">
        <f t="shared" si="31"/>
        <v/>
      </c>
      <c r="O186" s="185" t="str">
        <f t="shared" si="32"/>
        <v/>
      </c>
      <c r="P186" s="679"/>
      <c r="Q186" s="679"/>
      <c r="R186" s="674"/>
      <c r="S186" s="674"/>
      <c r="T186" s="674"/>
      <c r="U186" s="674"/>
      <c r="V186" s="674"/>
      <c r="W186" s="679"/>
      <c r="X186" s="679"/>
      <c r="Y186" s="674"/>
      <c r="Z186" s="674"/>
      <c r="AA186" s="674"/>
    </row>
    <row r="187" spans="1:27" ht="12.75" customHeight="1" x14ac:dyDescent="0.25">
      <c r="A187" s="114" t="str">
        <f t="shared" si="23"/>
        <v/>
      </c>
      <c r="B187" s="130" t="str">
        <f t="shared" si="24"/>
        <v/>
      </c>
      <c r="C187" s="130" t="str">
        <f>IFERROR(IF(ROUND(IF(totalyrs&gt;3,IF('Salary Detail'!$F$18="X",(IF(F55*(1+$K$15)^3&gt; MAXSAL,(MAXSAL*G187),(F55*G187*yr4percent*(1+$K$15)^3))),(F55*G187*yr4percent*(1+$K$15)^3)),0),0)=0,"",ROUND(IF(totalyrs&gt;3,IF('Salary Detail'!$F$18="X",(IF(F55*(1+$K$15)^3&gt; MAXSAL,(MAXSAL*G187),(F55*G187*yr4percent*(1+$K$15)^3))),(F55*G187*yr4percent*(1+$K$15)^3)),0),0)),"")</f>
        <v/>
      </c>
      <c r="D187" s="115" t="str">
        <f t="shared" si="33"/>
        <v/>
      </c>
      <c r="E187" s="266" t="str">
        <f t="shared" si="25"/>
        <v/>
      </c>
      <c r="F187" s="116" t="str">
        <f t="shared" si="26"/>
        <v/>
      </c>
      <c r="G187" s="183" t="str">
        <f t="shared" si="27"/>
        <v/>
      </c>
      <c r="H187" s="910" t="str">
        <f t="shared" si="28"/>
        <v/>
      </c>
      <c r="I187" s="939"/>
      <c r="J187" s="271" t="str">
        <f t="shared" si="29"/>
        <v/>
      </c>
      <c r="K187" s="131" t="str">
        <f>IFERROR(IF(ROUND(IF(totalyrs&gt;4,IF('Salary Detail'!$F$18="X",(IF(F55*(1+$K$15)^4&gt; MAXSAL,(MAXSAL*O187),(F55*O187*yr5percent*(1+$K$15)^4))),(F55*O187*yr5percent*(1+$K$15)^4)),0),0)=0,"",ROUND(IF(totalyrs&gt;4,IF('Salary Detail'!$F$18="X",(IF(F55*(1+$K$15)^4&gt; MAXSAL,(MAXSAL*O187),(F55*O187*yr5percent*(1+$K$15)^4))),(F55*O187*yr5percent*(1+$K$15)^4)),0),0)),"")</f>
        <v/>
      </c>
      <c r="L187" s="115" t="str">
        <f t="shared" si="34"/>
        <v/>
      </c>
      <c r="M187" s="266" t="str">
        <f t="shared" si="30"/>
        <v/>
      </c>
      <c r="N187" s="118" t="str">
        <f t="shared" si="31"/>
        <v/>
      </c>
      <c r="O187" s="185" t="str">
        <f t="shared" si="32"/>
        <v/>
      </c>
      <c r="P187" s="679"/>
      <c r="Q187" s="679"/>
      <c r="R187" s="674"/>
      <c r="S187" s="674"/>
      <c r="T187" s="674"/>
      <c r="U187" s="674"/>
      <c r="V187" s="674"/>
      <c r="W187" s="679"/>
      <c r="X187" s="679"/>
      <c r="Y187" s="674"/>
      <c r="Z187" s="674"/>
      <c r="AA187" s="674"/>
    </row>
    <row r="188" spans="1:27" ht="12.75" customHeight="1" x14ac:dyDescent="0.25">
      <c r="A188" s="114" t="str">
        <f t="shared" si="23"/>
        <v/>
      </c>
      <c r="B188" s="130" t="str">
        <f t="shared" si="24"/>
        <v/>
      </c>
      <c r="C188" s="130" t="str">
        <f>IFERROR(IF(ROUND(IF(totalyrs&gt;3,IF('Salary Detail'!$F$18="X",(IF(F56*(1+$K$15)^3&gt; MAXSAL,(MAXSAL*G188),(F56*G188*yr4percent*(1+$K$15)^3))),(F56*G188*yr4percent*(1+$K$15)^3)),0),0)=0,"",ROUND(IF(totalyrs&gt;3,IF('Salary Detail'!$F$18="X",(IF(F56*(1+$K$15)^3&gt; MAXSAL,(MAXSAL*G188),(F56*G188*yr4percent*(1+$K$15)^3))),(F56*G188*yr4percent*(1+$K$15)^3)),0),0)),"")</f>
        <v/>
      </c>
      <c r="D188" s="115" t="str">
        <f t="shared" si="33"/>
        <v/>
      </c>
      <c r="E188" s="266" t="str">
        <f t="shared" si="25"/>
        <v/>
      </c>
      <c r="F188" s="116" t="str">
        <f t="shared" si="26"/>
        <v/>
      </c>
      <c r="G188" s="183" t="str">
        <f t="shared" si="27"/>
        <v/>
      </c>
      <c r="H188" s="910" t="str">
        <f t="shared" si="28"/>
        <v/>
      </c>
      <c r="I188" s="939"/>
      <c r="J188" s="271" t="str">
        <f t="shared" si="29"/>
        <v/>
      </c>
      <c r="K188" s="131" t="str">
        <f>IFERROR(IF(ROUND(IF(totalyrs&gt;4,IF('Salary Detail'!$F$18="X",(IF(F56*(1+$K$15)^4&gt; MAXSAL,(MAXSAL*O188),(F56*O188*yr5percent*(1+$K$15)^4))),(F56*O188*yr5percent*(1+$K$15)^4)),0),0)=0,"",ROUND(IF(totalyrs&gt;4,IF('Salary Detail'!$F$18="X",(IF(F56*(1+$K$15)^4&gt; MAXSAL,(MAXSAL*O188),(F56*O188*yr5percent*(1+$K$15)^4))),(F56*O188*yr5percent*(1+$K$15)^4)),0),0)),"")</f>
        <v/>
      </c>
      <c r="L188" s="115" t="str">
        <f t="shared" si="34"/>
        <v/>
      </c>
      <c r="M188" s="266" t="str">
        <f t="shared" si="30"/>
        <v/>
      </c>
      <c r="N188" s="118" t="str">
        <f t="shared" si="31"/>
        <v/>
      </c>
      <c r="O188" s="185" t="str">
        <f t="shared" si="32"/>
        <v/>
      </c>
      <c r="P188" s="679"/>
      <c r="Q188" s="679"/>
      <c r="R188" s="674"/>
      <c r="S188" s="674"/>
      <c r="T188" s="674"/>
      <c r="U188" s="674"/>
      <c r="V188" s="674"/>
      <c r="W188" s="679"/>
      <c r="X188" s="679"/>
      <c r="Y188" s="674"/>
      <c r="Z188" s="674"/>
      <c r="AA188" s="674"/>
    </row>
    <row r="189" spans="1:27" ht="12.75" customHeight="1" x14ac:dyDescent="0.25">
      <c r="A189" s="114" t="str">
        <f t="shared" si="23"/>
        <v/>
      </c>
      <c r="B189" s="130" t="str">
        <f t="shared" si="24"/>
        <v/>
      </c>
      <c r="C189" s="130" t="str">
        <f>IFERROR(IF(ROUND(IF(totalyrs&gt;3,IF('Salary Detail'!$F$18="X",(IF(F57*(1+$K$15)^3&gt; MAXSAL,(MAXSAL*G189),(F57*G189*yr4percent*(1+$K$15)^3))),(F57*G189*yr4percent*(1+$K$15)^3)),0),0)=0,"",ROUND(IF(totalyrs&gt;3,IF('Salary Detail'!$F$18="X",(IF(F57*(1+$K$15)^3&gt; MAXSAL,(MAXSAL*G189),(F57*G189*yr4percent*(1+$K$15)^3))),(F57*G189*yr4percent*(1+$K$15)^3)),0),0)),"")</f>
        <v/>
      </c>
      <c r="D189" s="115" t="str">
        <f t="shared" si="33"/>
        <v/>
      </c>
      <c r="E189" s="266" t="str">
        <f t="shared" si="25"/>
        <v/>
      </c>
      <c r="F189" s="116" t="str">
        <f t="shared" si="26"/>
        <v/>
      </c>
      <c r="G189" s="183" t="str">
        <f t="shared" si="27"/>
        <v/>
      </c>
      <c r="H189" s="910" t="str">
        <f t="shared" si="28"/>
        <v/>
      </c>
      <c r="I189" s="939"/>
      <c r="J189" s="271" t="str">
        <f t="shared" si="29"/>
        <v/>
      </c>
      <c r="K189" s="131" t="str">
        <f>IFERROR(IF(ROUND(IF(totalyrs&gt;4,IF('Salary Detail'!$F$18="X",(IF(F57*(1+$K$15)^4&gt; MAXSAL,(MAXSAL*O189),(F57*O189*yr5percent*(1+$K$15)^4))),(F57*O189*yr5percent*(1+$K$15)^4)),0),0)=0,"",ROUND(IF(totalyrs&gt;4,IF('Salary Detail'!$F$18="X",(IF(F57*(1+$K$15)^4&gt; MAXSAL,(MAXSAL*O189),(F57*O189*yr5percent*(1+$K$15)^4))),(F57*O189*yr5percent*(1+$K$15)^4)),0),0)),"")</f>
        <v/>
      </c>
      <c r="L189" s="115" t="str">
        <f t="shared" si="34"/>
        <v/>
      </c>
      <c r="M189" s="266" t="str">
        <f t="shared" si="30"/>
        <v/>
      </c>
      <c r="N189" s="118" t="str">
        <f t="shared" si="31"/>
        <v/>
      </c>
      <c r="O189" s="185" t="str">
        <f t="shared" si="32"/>
        <v/>
      </c>
      <c r="P189" s="679"/>
      <c r="Q189" s="679"/>
      <c r="R189" s="674"/>
      <c r="S189" s="674"/>
      <c r="T189" s="674"/>
      <c r="U189" s="674"/>
      <c r="V189" s="674"/>
      <c r="W189" s="679"/>
      <c r="X189" s="679"/>
      <c r="Y189" s="674"/>
      <c r="Z189" s="674"/>
      <c r="AA189" s="674"/>
    </row>
    <row r="190" spans="1:27" ht="12.75" customHeight="1" x14ac:dyDescent="0.25">
      <c r="A190" s="114" t="str">
        <f t="shared" si="23"/>
        <v/>
      </c>
      <c r="B190" s="130" t="str">
        <f t="shared" si="24"/>
        <v/>
      </c>
      <c r="C190" s="130" t="str">
        <f>IFERROR(IF(ROUND(IF(totalyrs&gt;3,IF('Salary Detail'!$F$18="X",(IF(F58*(1+$K$15)^3&gt; MAXSAL,(MAXSAL*G190),(F58*G190*yr4percent*(1+$K$15)^3))),(F58*G190*yr4percent*(1+$K$15)^3)),0),0)=0,"",ROUND(IF(totalyrs&gt;3,IF('Salary Detail'!$F$18="X",(IF(F58*(1+$K$15)^3&gt; MAXSAL,(MAXSAL*G190),(F58*G190*yr4percent*(1+$K$15)^3))),(F58*G190*yr4percent*(1+$K$15)^3)),0),0)),"")</f>
        <v/>
      </c>
      <c r="D190" s="115" t="str">
        <f t="shared" si="33"/>
        <v/>
      </c>
      <c r="E190" s="266" t="str">
        <f t="shared" si="25"/>
        <v/>
      </c>
      <c r="F190" s="116" t="str">
        <f t="shared" si="26"/>
        <v/>
      </c>
      <c r="G190" s="183" t="str">
        <f t="shared" si="27"/>
        <v/>
      </c>
      <c r="H190" s="910" t="str">
        <f t="shared" si="28"/>
        <v/>
      </c>
      <c r="I190" s="939"/>
      <c r="J190" s="271" t="str">
        <f t="shared" si="29"/>
        <v/>
      </c>
      <c r="K190" s="131" t="str">
        <f>IFERROR(IF(ROUND(IF(totalyrs&gt;4,IF('Salary Detail'!$F$18="X",(IF(F58*(1+$K$15)^4&gt; MAXSAL,(MAXSAL*O190),(F58*O190*yr5percent*(1+$K$15)^4))),(F58*O190*yr5percent*(1+$K$15)^4)),0),0)=0,"",ROUND(IF(totalyrs&gt;4,IF('Salary Detail'!$F$18="X",(IF(F58*(1+$K$15)^4&gt; MAXSAL,(MAXSAL*O190),(F58*O190*yr5percent*(1+$K$15)^4))),(F58*O190*yr5percent*(1+$K$15)^4)),0),0)),"")</f>
        <v/>
      </c>
      <c r="L190" s="115" t="str">
        <f t="shared" si="34"/>
        <v/>
      </c>
      <c r="M190" s="266" t="str">
        <f t="shared" si="30"/>
        <v/>
      </c>
      <c r="N190" s="118" t="str">
        <f t="shared" si="31"/>
        <v/>
      </c>
      <c r="O190" s="185" t="str">
        <f t="shared" si="32"/>
        <v/>
      </c>
      <c r="P190" s="679"/>
      <c r="Q190" s="679"/>
      <c r="R190" s="674"/>
      <c r="S190" s="674"/>
      <c r="T190" s="674"/>
      <c r="U190" s="674"/>
      <c r="V190" s="674"/>
      <c r="W190" s="679"/>
      <c r="X190" s="679"/>
      <c r="Y190" s="674"/>
      <c r="Z190" s="674"/>
      <c r="AA190" s="674"/>
    </row>
    <row r="191" spans="1:27" ht="12.75" customHeight="1" x14ac:dyDescent="0.25">
      <c r="A191" s="114" t="str">
        <f t="shared" si="23"/>
        <v/>
      </c>
      <c r="B191" s="130" t="str">
        <f t="shared" si="24"/>
        <v/>
      </c>
      <c r="C191" s="130" t="str">
        <f>IFERROR(IF(ROUND(IF(totalyrs&gt;3,IF('Salary Detail'!$F$18="X",(IF(F59*(1+$K$15)^3&gt; MAXSAL,(MAXSAL*G191),(F59*G191*yr4percent*(1+$K$15)^3))),(F59*G191*yr4percent*(1+$K$15)^3)),0),0)=0,"",ROUND(IF(totalyrs&gt;3,IF('Salary Detail'!$F$18="X",(IF(F59*(1+$K$15)^3&gt; MAXSAL,(MAXSAL*G191),(F59*G191*yr4percent*(1+$K$15)^3))),(F59*G191*yr4percent*(1+$K$15)^3)),0),0)),"")</f>
        <v/>
      </c>
      <c r="D191" s="115" t="str">
        <f t="shared" si="33"/>
        <v/>
      </c>
      <c r="E191" s="266" t="str">
        <f t="shared" si="25"/>
        <v/>
      </c>
      <c r="F191" s="116" t="str">
        <f t="shared" si="26"/>
        <v/>
      </c>
      <c r="G191" s="183" t="str">
        <f t="shared" si="27"/>
        <v/>
      </c>
      <c r="H191" s="910" t="str">
        <f t="shared" si="28"/>
        <v/>
      </c>
      <c r="I191" s="939"/>
      <c r="J191" s="271" t="str">
        <f t="shared" si="29"/>
        <v/>
      </c>
      <c r="K191" s="131" t="str">
        <f>IFERROR(IF(ROUND(IF(totalyrs&gt;4,IF('Salary Detail'!$F$18="X",(IF(F59*(1+$K$15)^4&gt; MAXSAL,(MAXSAL*O191),(F59*O191*yr5percent*(1+$K$15)^4))),(F59*O191*yr5percent*(1+$K$15)^4)),0),0)=0,"",ROUND(IF(totalyrs&gt;4,IF('Salary Detail'!$F$18="X",(IF(F59*(1+$K$15)^4&gt; MAXSAL,(MAXSAL*O191),(F59*O191*yr5percent*(1+$K$15)^4))),(F59*O191*yr5percent*(1+$K$15)^4)),0),0)),"")</f>
        <v/>
      </c>
      <c r="L191" s="115" t="str">
        <f t="shared" si="34"/>
        <v/>
      </c>
      <c r="M191" s="266" t="str">
        <f t="shared" si="30"/>
        <v/>
      </c>
      <c r="N191" s="118" t="str">
        <f t="shared" si="31"/>
        <v/>
      </c>
      <c r="O191" s="185" t="str">
        <f t="shared" si="32"/>
        <v/>
      </c>
      <c r="P191" s="679"/>
      <c r="Q191" s="679"/>
      <c r="R191" s="674"/>
      <c r="S191" s="674"/>
      <c r="T191" s="674"/>
      <c r="U191" s="674"/>
      <c r="V191" s="674"/>
      <c r="W191" s="679"/>
      <c r="X191" s="679"/>
      <c r="Y191" s="674"/>
      <c r="Z191" s="674"/>
      <c r="AA191" s="674"/>
    </row>
    <row r="192" spans="1:27" ht="12.75" customHeight="1" x14ac:dyDescent="0.25">
      <c r="A192" s="114" t="str">
        <f t="shared" si="23"/>
        <v/>
      </c>
      <c r="B192" s="130" t="str">
        <f t="shared" si="24"/>
        <v/>
      </c>
      <c r="C192" s="130" t="str">
        <f>IFERROR(IF(ROUND(IF(totalyrs&gt;3,IF('Salary Detail'!$F$18="X",(IF(F60*(1+$K$15)^3&gt; MAXSAL,(MAXSAL*G192),(F60*G192*yr4percent*(1+$K$15)^3))),(F60*G192*yr4percent*(1+$K$15)^3)),0),0)=0,"",ROUND(IF(totalyrs&gt;3,IF('Salary Detail'!$F$18="X",(IF(F60*(1+$K$15)^3&gt; MAXSAL,(MAXSAL*G192),(F60*G192*yr4percent*(1+$K$15)^3))),(F60*G192*yr4percent*(1+$K$15)^3)),0),0)),"")</f>
        <v/>
      </c>
      <c r="D192" s="115" t="str">
        <f t="shared" si="33"/>
        <v/>
      </c>
      <c r="E192" s="266" t="str">
        <f t="shared" si="25"/>
        <v/>
      </c>
      <c r="F192" s="116" t="str">
        <f t="shared" si="26"/>
        <v/>
      </c>
      <c r="G192" s="183" t="str">
        <f t="shared" si="27"/>
        <v/>
      </c>
      <c r="H192" s="910" t="str">
        <f t="shared" si="28"/>
        <v/>
      </c>
      <c r="I192" s="939"/>
      <c r="J192" s="271" t="str">
        <f t="shared" si="29"/>
        <v/>
      </c>
      <c r="K192" s="131" t="str">
        <f>IFERROR(IF(ROUND(IF(totalyrs&gt;4,IF('Salary Detail'!$F$18="X",(IF(F60*(1+$K$15)^4&gt; MAXSAL,(MAXSAL*O192),(F60*O192*yr5percent*(1+$K$15)^4))),(F60*O192*yr5percent*(1+$K$15)^4)),0),0)=0,"",ROUND(IF(totalyrs&gt;4,IF('Salary Detail'!$F$18="X",(IF(F60*(1+$K$15)^4&gt; MAXSAL,(MAXSAL*O192),(F60*O192*yr5percent*(1+$K$15)^4))),(F60*O192*yr5percent*(1+$K$15)^4)),0),0)),"")</f>
        <v/>
      </c>
      <c r="L192" s="115" t="str">
        <f t="shared" si="34"/>
        <v/>
      </c>
      <c r="M192" s="266" t="str">
        <f t="shared" si="30"/>
        <v/>
      </c>
      <c r="N192" s="118" t="str">
        <f t="shared" si="31"/>
        <v/>
      </c>
      <c r="O192" s="185" t="str">
        <f t="shared" si="32"/>
        <v/>
      </c>
      <c r="P192" s="679"/>
      <c r="Q192" s="679"/>
      <c r="R192" s="674"/>
      <c r="S192" s="674"/>
      <c r="T192" s="674"/>
      <c r="U192" s="674"/>
      <c r="V192" s="674"/>
      <c r="W192" s="679"/>
      <c r="X192" s="679"/>
      <c r="Y192" s="674"/>
      <c r="Z192" s="674"/>
      <c r="AA192" s="674"/>
    </row>
    <row r="193" spans="1:27" ht="12.75" customHeight="1" x14ac:dyDescent="0.25">
      <c r="A193" s="114" t="str">
        <f t="shared" si="23"/>
        <v/>
      </c>
      <c r="B193" s="130" t="str">
        <f t="shared" si="24"/>
        <v/>
      </c>
      <c r="C193" s="130" t="str">
        <f>IFERROR(IF(ROUND(IF(totalyrs&gt;3,IF('Salary Detail'!$F$18="X",(IF(F61*(1+$K$15)^3&gt; MAXSAL,(MAXSAL*G193),(F61*G193*yr4percent*(1+$K$15)^3))),(F61*G193*yr4percent*(1+$K$15)^3)),0),0)=0,"",ROUND(IF(totalyrs&gt;3,IF('Salary Detail'!$F$18="X",(IF(F61*(1+$K$15)^3&gt; MAXSAL,(MAXSAL*G193),(F61*G193*yr4percent*(1+$K$15)^3))),(F61*G193*yr4percent*(1+$K$15)^3)),0),0)),"")</f>
        <v/>
      </c>
      <c r="D193" s="115" t="str">
        <f t="shared" si="33"/>
        <v/>
      </c>
      <c r="E193" s="266" t="str">
        <f t="shared" si="25"/>
        <v/>
      </c>
      <c r="F193" s="116" t="str">
        <f t="shared" si="26"/>
        <v/>
      </c>
      <c r="G193" s="183" t="str">
        <f t="shared" si="27"/>
        <v/>
      </c>
      <c r="H193" s="910" t="str">
        <f t="shared" si="28"/>
        <v/>
      </c>
      <c r="I193" s="939"/>
      <c r="J193" s="271" t="str">
        <f t="shared" si="29"/>
        <v/>
      </c>
      <c r="K193" s="131" t="str">
        <f>IFERROR(IF(ROUND(IF(totalyrs&gt;4,IF('Salary Detail'!$F$18="X",(IF(F61*(1+$K$15)^4&gt; MAXSAL,(MAXSAL*O193),(F61*O193*yr5percent*(1+$K$15)^4))),(F61*O193*yr5percent*(1+$K$15)^4)),0),0)=0,"",ROUND(IF(totalyrs&gt;4,IF('Salary Detail'!$F$18="X",(IF(F61*(1+$K$15)^4&gt; MAXSAL,(MAXSAL*O193),(F61*O193*yr5percent*(1+$K$15)^4))),(F61*O193*yr5percent*(1+$K$15)^4)),0),0)),"")</f>
        <v/>
      </c>
      <c r="L193" s="115" t="str">
        <f t="shared" si="34"/>
        <v/>
      </c>
      <c r="M193" s="266" t="str">
        <f t="shared" si="30"/>
        <v/>
      </c>
      <c r="N193" s="118" t="str">
        <f t="shared" si="31"/>
        <v/>
      </c>
      <c r="O193" s="185" t="str">
        <f t="shared" si="32"/>
        <v/>
      </c>
      <c r="P193" s="679"/>
      <c r="Q193" s="679"/>
      <c r="R193" s="674"/>
      <c r="S193" s="674"/>
      <c r="T193" s="674"/>
      <c r="U193" s="674"/>
      <c r="V193" s="674"/>
      <c r="W193" s="679"/>
      <c r="X193" s="679"/>
      <c r="Y193" s="674"/>
      <c r="Z193" s="674"/>
      <c r="AA193" s="674"/>
    </row>
    <row r="194" spans="1:27" ht="12.75" customHeight="1" x14ac:dyDescent="0.25">
      <c r="A194" s="114" t="str">
        <f t="shared" si="23"/>
        <v/>
      </c>
      <c r="B194" s="130" t="str">
        <f t="shared" si="24"/>
        <v/>
      </c>
      <c r="C194" s="130" t="str">
        <f>IFERROR(IF(ROUND(IF(totalyrs&gt;3,IF('Salary Detail'!$F$18="X",(IF(F62*(1+$K$15)^3&gt; MAXSAL,(MAXSAL*G194),(F62*G194*yr4percent*(1+$K$15)^3))),(F62*G194*yr4percent*(1+$K$15)^3)),0),0)=0,"",ROUND(IF(totalyrs&gt;3,IF('Salary Detail'!$F$18="X",(IF(F62*(1+$K$15)^3&gt; MAXSAL,(MAXSAL*G194),(F62*G194*yr4percent*(1+$K$15)^3))),(F62*G194*yr4percent*(1+$K$15)^3)),0),0)),"")</f>
        <v/>
      </c>
      <c r="D194" s="115" t="str">
        <f t="shared" si="33"/>
        <v/>
      </c>
      <c r="E194" s="266" t="str">
        <f t="shared" si="25"/>
        <v/>
      </c>
      <c r="F194" s="116" t="str">
        <f t="shared" si="26"/>
        <v/>
      </c>
      <c r="G194" s="183" t="str">
        <f t="shared" si="27"/>
        <v/>
      </c>
      <c r="H194" s="910" t="str">
        <f t="shared" si="28"/>
        <v/>
      </c>
      <c r="I194" s="939"/>
      <c r="J194" s="271" t="str">
        <f t="shared" si="29"/>
        <v/>
      </c>
      <c r="K194" s="131" t="str">
        <f>IFERROR(IF(ROUND(IF(totalyrs&gt;4,IF('Salary Detail'!$F$18="X",(IF(F62*(1+$K$15)^4&gt; MAXSAL,(MAXSAL*O194),(F62*O194*yr5percent*(1+$K$15)^4))),(F62*O194*yr5percent*(1+$K$15)^4)),0),0)=0,"",ROUND(IF(totalyrs&gt;4,IF('Salary Detail'!$F$18="X",(IF(F62*(1+$K$15)^4&gt; MAXSAL,(MAXSAL*O194),(F62*O194*yr5percent*(1+$K$15)^4))),(F62*O194*yr5percent*(1+$K$15)^4)),0),0)),"")</f>
        <v/>
      </c>
      <c r="L194" s="115" t="str">
        <f t="shared" si="34"/>
        <v/>
      </c>
      <c r="M194" s="266" t="str">
        <f t="shared" si="30"/>
        <v/>
      </c>
      <c r="N194" s="118" t="str">
        <f t="shared" si="31"/>
        <v/>
      </c>
      <c r="O194" s="185" t="str">
        <f t="shared" si="32"/>
        <v/>
      </c>
      <c r="P194" s="679"/>
      <c r="Q194" s="679"/>
      <c r="R194" s="674"/>
      <c r="S194" s="674"/>
      <c r="T194" s="674"/>
      <c r="U194" s="674"/>
      <c r="V194" s="674"/>
      <c r="W194" s="679"/>
      <c r="X194" s="679"/>
      <c r="Y194" s="674"/>
      <c r="Z194" s="674"/>
      <c r="AA194" s="674"/>
    </row>
    <row r="195" spans="1:27" ht="12.75" customHeight="1" x14ac:dyDescent="0.25">
      <c r="A195" s="122" t="s">
        <v>50</v>
      </c>
      <c r="B195" s="281"/>
      <c r="C195" s="133">
        <f>SUM(C155:C194)</f>
        <v>0</v>
      </c>
      <c r="D195" s="117">
        <f>SUM(D155:D194)</f>
        <v>0</v>
      </c>
      <c r="E195" s="278"/>
      <c r="F195" s="123">
        <f t="shared" ref="F195" si="35">C195+D195</f>
        <v>0</v>
      </c>
      <c r="G195" s="219"/>
      <c r="H195" s="122" t="s">
        <v>50</v>
      </c>
      <c r="I195" s="125"/>
      <c r="J195" s="282"/>
      <c r="K195" s="117">
        <f>SUM(K155:K194)</f>
        <v>0</v>
      </c>
      <c r="L195" s="117">
        <f>SUM(L155:L194)</f>
        <v>0</v>
      </c>
      <c r="M195" s="278"/>
      <c r="N195" s="250">
        <f t="shared" ref="N195" si="36">K195+L195</f>
        <v>0</v>
      </c>
      <c r="O195" s="207"/>
      <c r="P195" s="679"/>
      <c r="Q195" s="679"/>
      <c r="R195" s="679"/>
      <c r="S195" s="673"/>
      <c r="T195" s="674"/>
      <c r="U195" s="674"/>
      <c r="V195" s="674"/>
      <c r="W195" s="674"/>
      <c r="X195" s="674"/>
      <c r="Y195" s="674"/>
      <c r="Z195" s="674"/>
      <c r="AA195" s="674"/>
    </row>
    <row r="196" spans="1:27" ht="12.75" customHeight="1" x14ac:dyDescent="0.25">
      <c r="A196" s="207"/>
      <c r="B196" s="207"/>
      <c r="C196" s="208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679"/>
      <c r="Q196" s="691"/>
      <c r="R196" s="679"/>
      <c r="S196" s="673"/>
      <c r="T196" s="674"/>
      <c r="U196" s="674"/>
      <c r="V196" s="674"/>
      <c r="W196" s="674"/>
      <c r="X196" s="674"/>
      <c r="Y196" s="674"/>
      <c r="Z196" s="674"/>
      <c r="AA196" s="674"/>
    </row>
    <row r="197" spans="1:27" ht="12.75" customHeight="1" x14ac:dyDescent="0.25">
      <c r="A197" s="207"/>
      <c r="B197" s="207"/>
      <c r="C197" s="208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679"/>
      <c r="Q197" s="691"/>
      <c r="R197" s="679"/>
      <c r="S197" s="673"/>
      <c r="T197" s="674"/>
      <c r="U197" s="674"/>
      <c r="V197" s="674"/>
      <c r="W197" s="674"/>
      <c r="X197" s="674"/>
      <c r="Y197" s="674"/>
      <c r="Z197" s="674"/>
      <c r="AA197" s="674"/>
    </row>
    <row r="198" spans="1:27" ht="12.75" customHeight="1" x14ac:dyDescent="0.25">
      <c r="A198" s="207"/>
      <c r="B198" s="207"/>
      <c r="C198" s="208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679"/>
      <c r="Q198" s="691"/>
      <c r="R198" s="679"/>
      <c r="S198" s="673"/>
      <c r="T198" s="674"/>
      <c r="U198" s="674"/>
      <c r="V198" s="674"/>
      <c r="W198" s="674"/>
      <c r="X198" s="674"/>
      <c r="Y198" s="674"/>
      <c r="Z198" s="674"/>
      <c r="AA198" s="674"/>
    </row>
    <row r="199" spans="1:27" ht="12.75" customHeight="1" x14ac:dyDescent="0.25">
      <c r="A199" s="207"/>
      <c r="B199" s="207"/>
      <c r="C199" s="208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679"/>
      <c r="Q199" s="691"/>
      <c r="R199" s="679"/>
      <c r="S199" s="673"/>
      <c r="T199" s="674"/>
      <c r="U199" s="674"/>
      <c r="V199" s="674"/>
      <c r="W199" s="674"/>
      <c r="X199" s="674"/>
      <c r="Y199" s="674"/>
      <c r="Z199" s="674"/>
      <c r="AA199" s="674"/>
    </row>
    <row r="200" spans="1:27" ht="12.75" customHeight="1" x14ac:dyDescent="0.25">
      <c r="A200" s="207"/>
      <c r="B200" s="207"/>
      <c r="C200" s="208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679"/>
      <c r="Q200" s="691"/>
      <c r="R200" s="679"/>
      <c r="S200" s="673"/>
      <c r="T200" s="674"/>
      <c r="U200" s="674"/>
      <c r="V200" s="674"/>
      <c r="W200" s="674"/>
      <c r="X200" s="674"/>
      <c r="Y200" s="674"/>
      <c r="Z200" s="674"/>
      <c r="AA200" s="674"/>
    </row>
    <row r="201" spans="1:27" ht="12.75" customHeight="1" x14ac:dyDescent="0.25">
      <c r="A201" s="207"/>
      <c r="B201" s="207"/>
      <c r="C201" s="208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679"/>
      <c r="Q201" s="691"/>
      <c r="R201" s="679"/>
      <c r="S201" s="673"/>
      <c r="T201" s="674"/>
      <c r="U201" s="674"/>
      <c r="V201" s="674"/>
      <c r="W201" s="674"/>
      <c r="X201" s="674"/>
      <c r="Y201" s="674"/>
      <c r="Z201" s="674"/>
      <c r="AA201" s="674"/>
    </row>
    <row r="202" spans="1:27" ht="12.75" customHeight="1" x14ac:dyDescent="0.25">
      <c r="A202" s="207"/>
      <c r="B202" s="207"/>
      <c r="C202" s="208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679"/>
      <c r="Q202" s="691"/>
      <c r="R202" s="679"/>
      <c r="S202" s="673"/>
      <c r="T202" s="674"/>
      <c r="U202" s="674"/>
      <c r="V202" s="674"/>
      <c r="W202" s="674"/>
      <c r="X202" s="674"/>
      <c r="Y202" s="674"/>
      <c r="Z202" s="674"/>
      <c r="AA202" s="674"/>
    </row>
    <row r="203" spans="1:27" ht="12.75" customHeight="1" x14ac:dyDescent="0.25">
      <c r="A203" s="207"/>
      <c r="B203" s="207"/>
      <c r="C203" s="208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679"/>
      <c r="Q203" s="691"/>
      <c r="R203" s="679"/>
      <c r="S203" s="673"/>
      <c r="T203" s="674"/>
      <c r="U203" s="674"/>
      <c r="V203" s="674"/>
      <c r="W203" s="674"/>
      <c r="X203" s="674"/>
      <c r="Y203" s="674"/>
      <c r="Z203" s="674"/>
      <c r="AA203" s="674"/>
    </row>
    <row r="204" spans="1:27" ht="12.75" customHeight="1" x14ac:dyDescent="0.25">
      <c r="A204" s="207"/>
      <c r="B204" s="207"/>
      <c r="C204" s="208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679"/>
      <c r="Q204" s="691"/>
      <c r="R204" s="679"/>
      <c r="S204" s="673"/>
      <c r="T204" s="674"/>
      <c r="U204" s="674"/>
      <c r="V204" s="674"/>
      <c r="W204" s="674"/>
      <c r="X204" s="674"/>
      <c r="Y204" s="674"/>
      <c r="Z204" s="674"/>
      <c r="AA204" s="674"/>
    </row>
    <row r="205" spans="1:27" ht="12.75" customHeight="1" x14ac:dyDescent="0.25">
      <c r="A205" s="207"/>
      <c r="B205" s="207"/>
      <c r="C205" s="208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679"/>
      <c r="Q205" s="691"/>
      <c r="R205" s="679"/>
      <c r="S205" s="673"/>
      <c r="T205" s="674"/>
      <c r="U205" s="674"/>
      <c r="V205" s="674"/>
      <c r="W205" s="674"/>
      <c r="X205" s="674"/>
      <c r="Y205" s="674"/>
      <c r="Z205" s="674"/>
      <c r="AA205" s="674"/>
    </row>
    <row r="206" spans="1:27" ht="12.75" customHeight="1" x14ac:dyDescent="0.25">
      <c r="A206" s="207"/>
      <c r="B206" s="207"/>
      <c r="C206" s="208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679"/>
      <c r="Q206" s="691"/>
      <c r="R206" s="679"/>
      <c r="S206" s="673"/>
      <c r="T206" s="674"/>
      <c r="U206" s="674"/>
      <c r="V206" s="674"/>
      <c r="W206" s="674"/>
      <c r="X206" s="674"/>
      <c r="Y206" s="674"/>
      <c r="Z206" s="674"/>
      <c r="AA206" s="674"/>
    </row>
    <row r="207" spans="1:27" ht="12.75" customHeight="1" x14ac:dyDescent="0.25">
      <c r="A207" s="207"/>
      <c r="B207" s="207"/>
      <c r="C207" s="208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679"/>
      <c r="Q207" s="691"/>
      <c r="R207" s="679"/>
      <c r="S207" s="673"/>
      <c r="T207" s="674"/>
      <c r="U207" s="674"/>
      <c r="V207" s="674"/>
      <c r="W207" s="674"/>
      <c r="X207" s="674"/>
      <c r="Y207" s="674"/>
      <c r="Z207" s="674"/>
      <c r="AA207" s="674"/>
    </row>
    <row r="208" spans="1:27" ht="12.75" customHeight="1" x14ac:dyDescent="0.25">
      <c r="A208" s="207"/>
      <c r="B208" s="207"/>
      <c r="C208" s="208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679"/>
      <c r="Q208" s="691"/>
      <c r="R208" s="679"/>
      <c r="S208" s="673"/>
      <c r="T208" s="674"/>
      <c r="U208" s="674"/>
      <c r="V208" s="674"/>
      <c r="W208" s="674"/>
      <c r="X208" s="674"/>
      <c r="Y208" s="674"/>
      <c r="Z208" s="674"/>
      <c r="AA208" s="674"/>
    </row>
    <row r="209" spans="1:27" ht="12.75" customHeight="1" x14ac:dyDescent="0.25">
      <c r="A209" s="207"/>
      <c r="B209" s="207"/>
      <c r="C209" s="208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679"/>
      <c r="Q209" s="691"/>
      <c r="R209" s="679"/>
      <c r="S209" s="673"/>
      <c r="T209" s="674"/>
      <c r="U209" s="674"/>
      <c r="V209" s="674"/>
      <c r="W209" s="674"/>
      <c r="X209" s="674"/>
      <c r="Y209" s="674"/>
      <c r="Z209" s="674"/>
      <c r="AA209" s="674"/>
    </row>
    <row r="210" spans="1:27" ht="12.75" customHeight="1" x14ac:dyDescent="0.25">
      <c r="A210" s="207"/>
      <c r="B210" s="207"/>
      <c r="C210" s="208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679"/>
      <c r="Q210" s="691"/>
      <c r="R210" s="679"/>
      <c r="S210" s="673"/>
      <c r="T210" s="674"/>
      <c r="U210" s="674"/>
      <c r="V210" s="674"/>
      <c r="W210" s="674"/>
      <c r="X210" s="674"/>
      <c r="Y210" s="674"/>
      <c r="Z210" s="674"/>
      <c r="AA210" s="674"/>
    </row>
    <row r="211" spans="1:27" ht="12.75" customHeight="1" x14ac:dyDescent="0.25">
      <c r="A211" s="207"/>
      <c r="B211" s="207"/>
      <c r="C211" s="208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679"/>
      <c r="Q211" s="691"/>
      <c r="R211" s="679"/>
      <c r="S211" s="673"/>
      <c r="T211" s="674"/>
      <c r="U211" s="674"/>
      <c r="V211" s="674"/>
      <c r="W211" s="674"/>
      <c r="X211" s="674"/>
      <c r="Y211" s="674"/>
      <c r="Z211" s="674"/>
      <c r="AA211" s="674"/>
    </row>
    <row r="212" spans="1:27" ht="12.75" customHeight="1" x14ac:dyDescent="0.25">
      <c r="A212" s="207"/>
      <c r="B212" s="207"/>
      <c r="C212" s="208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679"/>
      <c r="Q212" s="691"/>
      <c r="R212" s="679"/>
      <c r="S212" s="673"/>
      <c r="T212" s="674"/>
      <c r="U212" s="674"/>
      <c r="V212" s="674"/>
      <c r="W212" s="674"/>
      <c r="X212" s="674"/>
      <c r="Y212" s="674"/>
      <c r="Z212" s="674"/>
      <c r="AA212" s="674"/>
    </row>
    <row r="213" spans="1:27" x14ac:dyDescent="0.25">
      <c r="A213" s="209"/>
      <c r="B213" s="209"/>
      <c r="C213" s="210"/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687"/>
      <c r="Q213" s="687"/>
      <c r="R213" s="687"/>
      <c r="S213" s="674"/>
      <c r="T213" s="674"/>
      <c r="U213" s="674"/>
      <c r="V213" s="674"/>
      <c r="W213" s="674"/>
      <c r="X213" s="674"/>
      <c r="Y213" s="674"/>
      <c r="Z213" s="674"/>
      <c r="AA213" s="674"/>
    </row>
    <row r="214" spans="1:27" x14ac:dyDescent="0.25">
      <c r="A214" s="209"/>
      <c r="B214" s="209"/>
      <c r="C214" s="210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687"/>
      <c r="Q214" s="687"/>
      <c r="R214" s="687"/>
      <c r="S214" s="674"/>
      <c r="T214" s="674"/>
      <c r="U214" s="674"/>
      <c r="V214" s="674"/>
      <c r="W214" s="674"/>
      <c r="X214" s="674"/>
      <c r="Y214" s="674"/>
      <c r="Z214" s="674"/>
      <c r="AA214" s="674"/>
    </row>
    <row r="215" spans="1:27" ht="12.75" customHeight="1" x14ac:dyDescent="0.25">
      <c r="A215" s="209"/>
      <c r="B215" s="209"/>
      <c r="C215" s="210"/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7"/>
      <c r="P215" s="679"/>
      <c r="Q215" s="691"/>
      <c r="R215" s="679"/>
      <c r="S215" s="673"/>
      <c r="T215" s="674"/>
      <c r="U215" s="674"/>
      <c r="V215" s="674"/>
      <c r="W215" s="674"/>
      <c r="X215" s="674"/>
      <c r="Y215" s="674"/>
      <c r="Z215" s="674"/>
      <c r="AA215" s="674"/>
    </row>
    <row r="216" spans="1:27" ht="12.75" customHeight="1" x14ac:dyDescent="0.25">
      <c r="A216" s="924" t="s">
        <v>206</v>
      </c>
      <c r="B216" s="924"/>
      <c r="C216" s="925"/>
      <c r="D216" s="925"/>
      <c r="E216" s="925"/>
      <c r="F216" s="925"/>
      <c r="G216" s="925"/>
      <c r="H216" s="925"/>
      <c r="I216" s="925"/>
      <c r="J216" s="925"/>
      <c r="K216" s="925"/>
      <c r="L216" s="925"/>
      <c r="M216" s="925"/>
      <c r="N216" s="925"/>
      <c r="O216" s="207"/>
      <c r="P216" s="679"/>
      <c r="Q216" s="691"/>
      <c r="R216" s="679"/>
      <c r="S216" s="673"/>
      <c r="T216" s="674"/>
      <c r="U216" s="674"/>
      <c r="V216" s="674"/>
      <c r="W216" s="674"/>
      <c r="X216" s="674"/>
      <c r="Y216" s="674"/>
      <c r="Z216" s="674"/>
      <c r="AA216" s="674"/>
    </row>
    <row r="217" spans="1:27" ht="12.75" customHeight="1" x14ac:dyDescent="0.25">
      <c r="A217" s="924" t="s">
        <v>141</v>
      </c>
      <c r="B217" s="924"/>
      <c r="C217" s="925"/>
      <c r="D217" s="925"/>
      <c r="E217" s="925"/>
      <c r="F217" s="925"/>
      <c r="G217" s="925"/>
      <c r="H217" s="925"/>
      <c r="I217" s="925"/>
      <c r="J217" s="925"/>
      <c r="K217" s="925"/>
      <c r="L217" s="925"/>
      <c r="M217" s="925"/>
      <c r="N217" s="925"/>
      <c r="O217" s="207"/>
      <c r="P217" s="679"/>
      <c r="Q217" s="691"/>
      <c r="R217" s="679"/>
      <c r="S217" s="673"/>
      <c r="T217" s="674"/>
      <c r="U217" s="674"/>
      <c r="V217" s="674"/>
      <c r="W217" s="674"/>
      <c r="X217" s="674"/>
      <c r="Y217" s="674"/>
      <c r="Z217" s="674"/>
      <c r="AA217" s="674"/>
    </row>
    <row r="218" spans="1:27" ht="12.75" customHeight="1" x14ac:dyDescent="0.25">
      <c r="A218" s="212"/>
      <c r="B218" s="212"/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07"/>
      <c r="P218" s="679"/>
      <c r="Q218" s="691"/>
      <c r="R218" s="679"/>
      <c r="S218" s="673"/>
      <c r="T218" s="674"/>
      <c r="U218" s="674"/>
      <c r="V218" s="674"/>
      <c r="W218" s="674"/>
      <c r="X218" s="674"/>
      <c r="Y218" s="674"/>
      <c r="Z218" s="674"/>
      <c r="AA218" s="674"/>
    </row>
    <row r="219" spans="1:27" ht="12.75" customHeight="1" x14ac:dyDescent="0.25">
      <c r="A219" s="207"/>
      <c r="B219" s="207"/>
      <c r="C219" s="208" t="s">
        <v>6</v>
      </c>
      <c r="D219" s="207"/>
      <c r="E219" s="207"/>
      <c r="F219" s="942" t="str">
        <f>D5</f>
        <v/>
      </c>
      <c r="G219" s="943"/>
      <c r="H219" s="943"/>
      <c r="I219" s="943"/>
      <c r="J219" s="943"/>
      <c r="K219" s="943"/>
      <c r="L219" s="943"/>
      <c r="M219" s="207"/>
      <c r="N219" s="207"/>
      <c r="O219" s="207"/>
      <c r="P219" s="679"/>
      <c r="Q219" s="691"/>
      <c r="R219" s="679"/>
      <c r="S219" s="673"/>
      <c r="T219" s="674"/>
      <c r="U219" s="674"/>
      <c r="V219" s="674"/>
      <c r="W219" s="674"/>
      <c r="X219" s="674"/>
      <c r="Y219" s="674"/>
      <c r="Z219" s="674"/>
      <c r="AA219" s="674"/>
    </row>
    <row r="220" spans="1:27" ht="12.75" customHeight="1" x14ac:dyDescent="0.25">
      <c r="A220" s="207"/>
      <c r="B220" s="207"/>
      <c r="C220" s="208" t="s">
        <v>8</v>
      </c>
      <c r="D220" s="207"/>
      <c r="E220" s="207"/>
      <c r="F220" s="940" t="str">
        <f>D6</f>
        <v/>
      </c>
      <c r="G220" s="941"/>
      <c r="H220" s="941"/>
      <c r="I220" s="941"/>
      <c r="J220" s="941"/>
      <c r="K220" s="941"/>
      <c r="L220" s="941"/>
      <c r="M220" s="207"/>
      <c r="N220" s="207"/>
      <c r="O220" s="207"/>
      <c r="P220" s="679"/>
      <c r="Q220" s="691"/>
      <c r="R220" s="679"/>
      <c r="S220" s="673"/>
      <c r="T220" s="674"/>
      <c r="U220" s="674"/>
      <c r="V220" s="674"/>
      <c r="W220" s="674"/>
      <c r="X220" s="674"/>
      <c r="Y220" s="674"/>
      <c r="Z220" s="674"/>
      <c r="AA220" s="674"/>
    </row>
    <row r="221" spans="1:27" ht="12.75" customHeight="1" x14ac:dyDescent="0.25">
      <c r="A221" s="207"/>
      <c r="B221" s="207"/>
      <c r="C221" s="208" t="s">
        <v>122</v>
      </c>
      <c r="D221" s="207"/>
      <c r="E221" s="207"/>
      <c r="F221" s="940" t="str">
        <f>D7</f>
        <v/>
      </c>
      <c r="G221" s="941"/>
      <c r="H221" s="941"/>
      <c r="I221" s="941"/>
      <c r="J221" s="941"/>
      <c r="K221" s="941"/>
      <c r="L221" s="941"/>
      <c r="M221" s="207"/>
      <c r="N221" s="207"/>
      <c r="O221" s="207"/>
      <c r="P221" s="679"/>
      <c r="Q221" s="691"/>
      <c r="R221" s="679"/>
      <c r="S221" s="673"/>
      <c r="T221" s="674"/>
      <c r="U221" s="674"/>
      <c r="V221" s="674"/>
      <c r="W221" s="674"/>
      <c r="X221" s="674"/>
      <c r="Y221" s="674"/>
      <c r="Z221" s="674"/>
      <c r="AA221" s="674"/>
    </row>
    <row r="222" spans="1:27" ht="12.75" customHeight="1" x14ac:dyDescent="0.25">
      <c r="A222" s="207"/>
      <c r="B222" s="207"/>
      <c r="C222" s="208" t="s">
        <v>10</v>
      </c>
      <c r="D222" s="207"/>
      <c r="E222" s="207"/>
      <c r="F222" s="940" t="str">
        <f>D8</f>
        <v/>
      </c>
      <c r="G222" s="941"/>
      <c r="H222" s="941"/>
      <c r="I222" s="941"/>
      <c r="J222" s="941"/>
      <c r="K222" s="941"/>
      <c r="L222" s="941"/>
      <c r="M222" s="207"/>
      <c r="N222" s="207"/>
      <c r="O222" s="207"/>
      <c r="P222" s="679"/>
      <c r="Q222" s="679"/>
      <c r="R222" s="679"/>
      <c r="S222" s="673"/>
      <c r="T222" s="674"/>
      <c r="U222" s="674"/>
      <c r="V222" s="674"/>
      <c r="W222" s="674"/>
      <c r="X222" s="674"/>
      <c r="Y222" s="674"/>
      <c r="Z222" s="674"/>
      <c r="AA222" s="674"/>
    </row>
    <row r="223" spans="1:27" ht="12.75" customHeight="1" x14ac:dyDescent="0.25">
      <c r="A223" s="207"/>
      <c r="B223" s="207"/>
      <c r="C223" s="208"/>
      <c r="D223" s="207"/>
      <c r="E223" s="207"/>
      <c r="F223" s="225"/>
      <c r="G223" s="225"/>
      <c r="H223" s="219"/>
      <c r="I223" s="209"/>
      <c r="J223" s="209"/>
      <c r="K223" s="219"/>
      <c r="L223" s="219"/>
      <c r="M223" s="219"/>
      <c r="N223" s="207"/>
      <c r="O223" s="214"/>
      <c r="P223" s="679"/>
      <c r="Q223" s="679"/>
      <c r="R223" s="679"/>
      <c r="S223" s="673"/>
      <c r="T223" s="674"/>
      <c r="U223" s="674"/>
      <c r="V223" s="674"/>
      <c r="W223" s="674"/>
      <c r="X223" s="674"/>
      <c r="Y223" s="674"/>
      <c r="Z223" s="674"/>
      <c r="AA223" s="674"/>
    </row>
    <row r="224" spans="1:27" ht="12.75" customHeight="1" x14ac:dyDescent="0.25">
      <c r="A224" s="270" t="s">
        <v>226</v>
      </c>
      <c r="B224" s="256" t="s">
        <v>209</v>
      </c>
      <c r="C224" s="830" t="s">
        <v>144</v>
      </c>
      <c r="D224" s="832"/>
      <c r="E224" s="832"/>
      <c r="F224" s="926"/>
      <c r="G224" s="101" t="s">
        <v>109</v>
      </c>
      <c r="H224" s="927"/>
      <c r="I224" s="928"/>
      <c r="J224" s="256" t="s">
        <v>209</v>
      </c>
      <c r="K224" s="102" t="s">
        <v>145</v>
      </c>
      <c r="L224" s="103"/>
      <c r="M224" s="103"/>
      <c r="N224" s="104"/>
      <c r="O224" s="84" t="s">
        <v>109</v>
      </c>
      <c r="P224" s="680" t="s">
        <v>146</v>
      </c>
      <c r="Q224" s="679"/>
      <c r="R224" s="679"/>
      <c r="S224" s="673"/>
      <c r="T224" s="674"/>
      <c r="U224" s="674"/>
      <c r="V224" s="674"/>
      <c r="W224" s="674"/>
      <c r="X224" s="674"/>
      <c r="Y224" s="674"/>
      <c r="Z224" s="674"/>
      <c r="AA224" s="674"/>
    </row>
    <row r="225" spans="1:27" ht="12.75" customHeight="1" x14ac:dyDescent="0.25">
      <c r="A225" s="105" t="s">
        <v>231</v>
      </c>
      <c r="B225" s="108" t="s">
        <v>211</v>
      </c>
      <c r="C225" s="106" t="s">
        <v>22</v>
      </c>
      <c r="D225" s="80"/>
      <c r="E225" s="80" t="s">
        <v>228</v>
      </c>
      <c r="F225" s="107"/>
      <c r="G225" s="80" t="s">
        <v>110</v>
      </c>
      <c r="H225" s="929"/>
      <c r="I225" s="930"/>
      <c r="J225" s="108" t="s">
        <v>211</v>
      </c>
      <c r="K225" s="108" t="str">
        <f>C225</f>
        <v>Salaries</v>
      </c>
      <c r="L225" s="80"/>
      <c r="M225" s="80" t="s">
        <v>228</v>
      </c>
      <c r="N225" s="107"/>
      <c r="O225" s="80" t="s">
        <v>110</v>
      </c>
      <c r="P225" s="681" t="str">
        <f>$P$80</f>
        <v>Year or</v>
      </c>
      <c r="Q225" s="679"/>
      <c r="R225" s="679"/>
      <c r="S225" s="673"/>
      <c r="T225" s="674"/>
      <c r="U225" s="674"/>
      <c r="V225" s="674"/>
      <c r="W225" s="674"/>
      <c r="X225" s="674"/>
      <c r="Y225" s="674"/>
      <c r="Z225" s="674"/>
      <c r="AA225" s="674"/>
    </row>
    <row r="226" spans="1:27" ht="12.75" customHeight="1" x14ac:dyDescent="0.25">
      <c r="A226" s="109" t="s">
        <v>32</v>
      </c>
      <c r="B226" s="109" t="s">
        <v>224</v>
      </c>
      <c r="C226" s="110" t="s">
        <v>34</v>
      </c>
      <c r="D226" s="111" t="s">
        <v>30</v>
      </c>
      <c r="E226" s="111" t="s">
        <v>229</v>
      </c>
      <c r="F226" s="112" t="s">
        <v>46</v>
      </c>
      <c r="G226" s="113" t="s">
        <v>33</v>
      </c>
      <c r="H226" s="929" t="s">
        <v>32</v>
      </c>
      <c r="I226" s="930"/>
      <c r="J226" s="109" t="s">
        <v>224</v>
      </c>
      <c r="K226" s="129" t="str">
        <f>C226</f>
        <v>Requested</v>
      </c>
      <c r="L226" s="111" t="str">
        <f>D226</f>
        <v>Benefits</v>
      </c>
      <c r="M226" s="111" t="s">
        <v>229</v>
      </c>
      <c r="N226" s="112" t="str">
        <f>F226</f>
        <v>Totals</v>
      </c>
      <c r="O226" s="113" t="s">
        <v>33</v>
      </c>
      <c r="P226" s="682" t="str">
        <f>$P$81</f>
        <v>Portion of</v>
      </c>
      <c r="Q226" s="679"/>
      <c r="R226" s="679"/>
      <c r="S226" s="673"/>
      <c r="T226" s="674"/>
      <c r="U226" s="674"/>
      <c r="V226" s="674"/>
      <c r="W226" s="674"/>
      <c r="X226" s="674"/>
      <c r="Y226" s="674"/>
      <c r="Z226" s="674"/>
      <c r="AA226" s="674"/>
    </row>
    <row r="227" spans="1:27" ht="12.75" customHeight="1" x14ac:dyDescent="0.25">
      <c r="A227" s="114" t="str">
        <f t="shared" ref="A227:A266" si="37">IF(A23=0,"",A23)</f>
        <v/>
      </c>
      <c r="B227" s="130" t="str">
        <f t="shared" ref="B227:B266" si="38">IFERROR(IF(ROUND(IF(totalyrs&gt;5,((F23*(1+$K$15)^5)),0),0)=0,"",ROUND(IF(totalyrs&gt;5,((F23*(1+$K$15)^5)),0),0)),"")</f>
        <v/>
      </c>
      <c r="C227" s="130" t="str">
        <f>IFERROR(IF(ROUND(IF(totalyrs&gt;5,IF('Salary Detail'!$F$18="X",(IF(F23*(1+$K$15)^5&gt; MAXSAL,(MAXSAL*G227),(F23*G227*yr6percent*(1+$K$15)^5))),(F23*G227*yr6percent*(1+$K$15)^5)),0),0)=0,"",ROUND(IF(totalyrs&gt;5,IF('Salary Detail'!$F$18="X",(IF(F23*(1+$K$15)^5&gt; MAXSAL,(MAXSAL*G227),(F23*G227*yr6percent*(1+$K$15)^5))),(F23*G227*yr6percent*(1+$K$15)^5)),0),0)),"")</f>
        <v/>
      </c>
      <c r="D227" s="115" t="str">
        <f>IFERROR(IF(C227*0.26=0,"",C227*0.35),"")</f>
        <v/>
      </c>
      <c r="E227" s="266" t="str">
        <f t="shared" ref="E227:E266" si="39">IFERROR(IF(SUM(G227*12)=0,"",SUM(G227*12)),"")</f>
        <v/>
      </c>
      <c r="F227" s="116" t="str">
        <f t="shared" ref="F227:F266" si="40">IFERROR(IF(C227+D227=0,"",C227+D227),"")</f>
        <v/>
      </c>
      <c r="G227" s="183" t="str">
        <f t="shared" ref="G227:G266" si="41">IF(IF(totalyrs&gt;5,(O155),0)=0,"",IF(totalyrs&gt;5,(O155),0))</f>
        <v/>
      </c>
      <c r="H227" s="910" t="str">
        <f t="shared" ref="H227:H266" si="42">IF(A23=0,"",A23)</f>
        <v/>
      </c>
      <c r="I227" s="939"/>
      <c r="J227" s="271" t="str">
        <f t="shared" ref="J227:J266" si="43">IFERROR(IF(ROUND(IF(totalyrs&gt;6,((F23*(1+$K$15)^6)),0),0)=0,"",ROUND(IF(totalyrs&gt;6,((F23*(1+$K$15)^6)),0),0)),"")</f>
        <v/>
      </c>
      <c r="K227" s="131" t="str">
        <f>IFERROR(IF(ROUND(IF(totalyrs&gt;6,IF('Salary Detail'!$F$18="X",(IF(F23*(1+$K$15)^6&gt; MAXSAL,(MAXSAL*O227),(F23*O227*yr7percent*(1+$K$15)^6))),(F23*O227*yr7percent*(1+$K$15)^6)),0),0)=0,"",ROUND(IF(totalyrs&gt;6,IF('Salary Detail'!$F$18="X",(IF(F23*(1+$K$15)^6&gt; MAXSAL,(MAXSAL*O227),(F23*O227*yr7percent*(1+$K$15)^6))),(F23*O227*yr7percent*(1+$K$15)^6)),0),0)),"")</f>
        <v/>
      </c>
      <c r="L227" s="115" t="str">
        <f>IFERROR(IF(K227*0.26=0,"",K227*0.35),"")</f>
        <v/>
      </c>
      <c r="M227" s="266" t="str">
        <f t="shared" ref="M227:M266" si="44">IFERROR(IF(SUM(O227*12)=0,"",SUM(O227*12)),"")</f>
        <v/>
      </c>
      <c r="N227" s="118" t="str">
        <f t="shared" ref="N227:N266" si="45">IFERROR(IF(K227+L227=0,"",K227+L227),"")</f>
        <v/>
      </c>
      <c r="O227" s="185" t="str">
        <f t="shared" ref="O227:O266" si="46">IF(IF(totalyrs&gt;6,(G227),0)=0,"",IF(totalyrs&gt;6,(G227),0))</f>
        <v/>
      </c>
      <c r="P227" s="682" t="str">
        <f>$P$82</f>
        <v>a Year</v>
      </c>
      <c r="Q227" s="679"/>
      <c r="R227" s="674"/>
      <c r="S227" s="674"/>
      <c r="T227" s="674"/>
      <c r="U227" s="674"/>
      <c r="V227" s="674"/>
      <c r="W227" s="679"/>
      <c r="X227" s="679"/>
      <c r="Y227" s="674"/>
      <c r="Z227" s="674"/>
      <c r="AA227" s="674"/>
    </row>
    <row r="228" spans="1:27" ht="12.75" customHeight="1" x14ac:dyDescent="0.25">
      <c r="A228" s="114" t="str">
        <f t="shared" si="37"/>
        <v/>
      </c>
      <c r="B228" s="130" t="str">
        <f t="shared" si="38"/>
        <v/>
      </c>
      <c r="C228" s="130" t="str">
        <f>IFERROR(IF(ROUND(IF(totalyrs&gt;5,IF('Salary Detail'!$F$18="X",(IF(F24*(1+$K$15)^5&gt; MAXSAL,(MAXSAL*G228),(F24*G228*yr6percent*(1+$K$15)^5))),(F24*G228*yr6percent*(1+$K$15)^5)),0),0)=0,"",ROUND(IF(totalyrs&gt;5,IF('Salary Detail'!$F$18="X",(IF(F24*(1+$K$15)^5&gt; MAXSAL,(MAXSAL*G228),(F24*G228*yr6percent*(1+$K$15)^5))),(F24*G228*yr6percent*(1+$K$15)^5)),0),0)),"")</f>
        <v/>
      </c>
      <c r="D228" s="115" t="str">
        <f t="shared" ref="D228:D266" si="47">IFERROR(IF(C228*0.26=0,"",C228*0.35),"")</f>
        <v/>
      </c>
      <c r="E228" s="266" t="str">
        <f t="shared" si="39"/>
        <v/>
      </c>
      <c r="F228" s="116" t="str">
        <f t="shared" si="40"/>
        <v/>
      </c>
      <c r="G228" s="183" t="str">
        <f t="shared" si="41"/>
        <v/>
      </c>
      <c r="H228" s="910" t="str">
        <f t="shared" si="42"/>
        <v/>
      </c>
      <c r="I228" s="939"/>
      <c r="J228" s="271" t="str">
        <f t="shared" si="43"/>
        <v/>
      </c>
      <c r="K228" s="131" t="str">
        <f>IFERROR(IF(ROUND(IF(totalyrs&gt;6,IF('Salary Detail'!$F$18="X",(IF(F24*(1+$K$15)^6&gt; MAXSAL,(MAXSAL*O228),(F24*O228*yr7percent*(1+$K$15)^6))),(F24*O228*yr7percent*(1+$K$15)^6)),0),0)=0,"",ROUND(IF(totalyrs&gt;6,IF('Salary Detail'!$F$18="X",(IF(F24*(1+$K$15)^6&gt; MAXSAL,(MAXSAL*O228),(F24*O228*yr7percent*(1+$K$15)^6))),(F24*O228*yr7percent*(1+$K$15)^6)),0),0)),"")</f>
        <v/>
      </c>
      <c r="L228" s="115" t="str">
        <f t="shared" ref="L228:L266" si="48">IFERROR(IF(K228*0.26=0,"",K228*0.35),"")</f>
        <v/>
      </c>
      <c r="M228" s="266" t="str">
        <f t="shared" si="44"/>
        <v/>
      </c>
      <c r="N228" s="118" t="str">
        <f t="shared" si="45"/>
        <v/>
      </c>
      <c r="O228" s="185" t="str">
        <f t="shared" si="46"/>
        <v/>
      </c>
      <c r="P228" s="683">
        <f>IF(AND(totalyrs&gt;5,totalyrs&lt;6),totalyrs-5,1)</f>
        <v>1</v>
      </c>
      <c r="Q228" s="692" t="s">
        <v>147</v>
      </c>
      <c r="R228" s="674"/>
      <c r="S228" s="674"/>
      <c r="T228" s="674"/>
      <c r="U228" s="674"/>
      <c r="V228" s="674"/>
      <c r="W228" s="679"/>
      <c r="X228" s="679"/>
      <c r="Y228" s="674"/>
      <c r="Z228" s="674"/>
      <c r="AA228" s="674"/>
    </row>
    <row r="229" spans="1:27" ht="12.75" customHeight="1" x14ac:dyDescent="0.25">
      <c r="A229" s="114" t="str">
        <f t="shared" si="37"/>
        <v/>
      </c>
      <c r="B229" s="130" t="str">
        <f t="shared" si="38"/>
        <v/>
      </c>
      <c r="C229" s="130" t="str">
        <f>IFERROR(IF(ROUND(IF(totalyrs&gt;5,IF('Salary Detail'!$F$18="X",(IF(F25*(1+$K$15)^5&gt; MAXSAL,(MAXSAL*G229),(F25*G229*yr6percent*(1+$K$15)^5))),(F25*G229*yr6percent*(1+$K$15)^5)),0),0)=0,"",ROUND(IF(totalyrs&gt;5,IF('Salary Detail'!$F$18="X",(IF(F25*(1+$K$15)^5&gt; MAXSAL,(MAXSAL*G229),(F25*G229*yr6percent*(1+$K$15)^5))),(F25*G229*yr6percent*(1+$K$15)^5)),0),0)),"")</f>
        <v/>
      </c>
      <c r="D229" s="115" t="str">
        <f t="shared" si="47"/>
        <v/>
      </c>
      <c r="E229" s="266" t="str">
        <f t="shared" si="39"/>
        <v/>
      </c>
      <c r="F229" s="116" t="str">
        <f t="shared" si="40"/>
        <v/>
      </c>
      <c r="G229" s="183" t="str">
        <f t="shared" si="41"/>
        <v/>
      </c>
      <c r="H229" s="910" t="str">
        <f t="shared" si="42"/>
        <v/>
      </c>
      <c r="I229" s="939"/>
      <c r="J229" s="271" t="str">
        <f t="shared" si="43"/>
        <v/>
      </c>
      <c r="K229" s="131" t="str">
        <f>IFERROR(IF(ROUND(IF(totalyrs&gt;6,IF('Salary Detail'!$F$18="X",(IF(F25*(1+$K$15)^6&gt; MAXSAL,(MAXSAL*O229),(F25*O229*yr7percent*(1+$K$15)^6))),(F25*O229*yr7percent*(1+$K$15)^6)),0),0)=0,"",ROUND(IF(totalyrs&gt;6,IF('Salary Detail'!$F$18="X",(IF(F25*(1+$K$15)^6&gt; MAXSAL,(MAXSAL*O229),(F25*O229*yr7percent*(1+$K$15)^6))),(F25*O229*yr7percent*(1+$K$15)^6)),0),0)),"")</f>
        <v/>
      </c>
      <c r="L229" s="115" t="str">
        <f t="shared" si="48"/>
        <v/>
      </c>
      <c r="M229" s="266" t="str">
        <f t="shared" si="44"/>
        <v/>
      </c>
      <c r="N229" s="118" t="str">
        <f t="shared" si="45"/>
        <v/>
      </c>
      <c r="O229" s="185" t="str">
        <f t="shared" si="46"/>
        <v/>
      </c>
      <c r="P229" s="683">
        <f>IF(AND(totalyrs&gt;6,totalyrs&lt;7),totalyrs-6,1)</f>
        <v>1</v>
      </c>
      <c r="Q229" s="684" t="s">
        <v>148</v>
      </c>
      <c r="R229" s="674"/>
      <c r="S229" s="674"/>
      <c r="T229" s="674"/>
      <c r="U229" s="674"/>
      <c r="V229" s="674"/>
      <c r="W229" s="679"/>
      <c r="X229" s="679"/>
      <c r="Y229" s="674"/>
      <c r="Z229" s="674"/>
      <c r="AA229" s="674"/>
    </row>
    <row r="230" spans="1:27" ht="12.75" customHeight="1" x14ac:dyDescent="0.25">
      <c r="A230" s="114" t="str">
        <f t="shared" si="37"/>
        <v/>
      </c>
      <c r="B230" s="130" t="str">
        <f t="shared" si="38"/>
        <v/>
      </c>
      <c r="C230" s="130" t="str">
        <f>IFERROR(IF(ROUND(IF(totalyrs&gt;5,IF('Salary Detail'!$F$18="X",(IF(F26*(1+$K$15)^5&gt; MAXSAL,(MAXSAL*G230),(F26*G230*yr6percent*(1+$K$15)^5))),(F26*G230*yr6percent*(1+$K$15)^5)),0),0)=0,"",ROUND(IF(totalyrs&gt;5,IF('Salary Detail'!$F$18="X",(IF(F26*(1+$K$15)^5&gt; MAXSAL,(MAXSAL*G230),(F26*G230*yr6percent*(1+$K$15)^5))),(F26*G230*yr6percent*(1+$K$15)^5)),0),0)),"")</f>
        <v/>
      </c>
      <c r="D230" s="115" t="str">
        <f t="shared" si="47"/>
        <v/>
      </c>
      <c r="E230" s="266" t="str">
        <f t="shared" si="39"/>
        <v/>
      </c>
      <c r="F230" s="116" t="str">
        <f t="shared" si="40"/>
        <v/>
      </c>
      <c r="G230" s="183" t="str">
        <f t="shared" si="41"/>
        <v/>
      </c>
      <c r="H230" s="910" t="str">
        <f t="shared" si="42"/>
        <v/>
      </c>
      <c r="I230" s="939"/>
      <c r="J230" s="271" t="str">
        <f t="shared" si="43"/>
        <v/>
      </c>
      <c r="K230" s="131" t="str">
        <f>IFERROR(IF(ROUND(IF(totalyrs&gt;6,IF('Salary Detail'!$F$18="X",(IF(F26*(1+$K$15)^6&gt; MAXSAL,(MAXSAL*O230),(F26*O230*yr7percent*(1+$K$15)^6))),(F26*O230*yr7percent*(1+$K$15)^6)),0),0)=0,"",ROUND(IF(totalyrs&gt;6,IF('Salary Detail'!$F$18="X",(IF(F26*(1+$K$15)^6&gt; MAXSAL,(MAXSAL*O230),(F26*O230*yr7percent*(1+$K$15)^6))),(F26*O230*yr7percent*(1+$K$15)^6)),0),0)),"")</f>
        <v/>
      </c>
      <c r="L230" s="115" t="str">
        <f t="shared" si="48"/>
        <v/>
      </c>
      <c r="M230" s="266" t="str">
        <f t="shared" si="44"/>
        <v/>
      </c>
      <c r="N230" s="118" t="str">
        <f t="shared" si="45"/>
        <v/>
      </c>
      <c r="O230" s="185" t="str">
        <f t="shared" si="46"/>
        <v/>
      </c>
      <c r="P230" s="682"/>
      <c r="Q230" s="679"/>
      <c r="R230" s="674"/>
      <c r="S230" s="674"/>
      <c r="T230" s="674"/>
      <c r="U230" s="674"/>
      <c r="V230" s="674"/>
      <c r="W230" s="679"/>
      <c r="X230" s="679"/>
      <c r="Y230" s="674"/>
      <c r="Z230" s="674"/>
      <c r="AA230" s="674"/>
    </row>
    <row r="231" spans="1:27" ht="12.75" customHeight="1" x14ac:dyDescent="0.25">
      <c r="A231" s="114" t="str">
        <f t="shared" si="37"/>
        <v/>
      </c>
      <c r="B231" s="130" t="str">
        <f t="shared" si="38"/>
        <v/>
      </c>
      <c r="C231" s="130" t="str">
        <f>IFERROR(IF(ROUND(IF(totalyrs&gt;5,IF('Salary Detail'!$F$18="X",(IF(F27*(1+$K$15)^5&gt; MAXSAL,(MAXSAL*G231),(F27*G231*yr6percent*(1+$K$15)^5))),(F27*G231*yr6percent*(1+$K$15)^5)),0),0)=0,"",ROUND(IF(totalyrs&gt;5,IF('Salary Detail'!$F$18="X",(IF(F27*(1+$K$15)^5&gt; MAXSAL,(MAXSAL*G231),(F27*G231*yr6percent*(1+$K$15)^5))),(F27*G231*yr6percent*(1+$K$15)^5)),0),0)),"")</f>
        <v/>
      </c>
      <c r="D231" s="115" t="str">
        <f t="shared" si="47"/>
        <v/>
      </c>
      <c r="E231" s="266" t="str">
        <f t="shared" si="39"/>
        <v/>
      </c>
      <c r="F231" s="116" t="str">
        <f t="shared" si="40"/>
        <v/>
      </c>
      <c r="G231" s="183" t="str">
        <f t="shared" si="41"/>
        <v/>
      </c>
      <c r="H231" s="910" t="str">
        <f t="shared" si="42"/>
        <v/>
      </c>
      <c r="I231" s="939"/>
      <c r="J231" s="271" t="str">
        <f t="shared" si="43"/>
        <v/>
      </c>
      <c r="K231" s="131" t="str">
        <f>IFERROR(IF(ROUND(IF(totalyrs&gt;6,IF('Salary Detail'!$F$18="X",(IF(F27*(1+$K$15)^6&gt; MAXSAL,(MAXSAL*O231),(F27*O231*yr7percent*(1+$K$15)^6))),(F27*O231*yr7percent*(1+$K$15)^6)),0),0)=0,"",ROUND(IF(totalyrs&gt;6,IF('Salary Detail'!$F$18="X",(IF(F27*(1+$K$15)^6&gt; MAXSAL,(MAXSAL*O231),(F27*O231*yr7percent*(1+$K$15)^6))),(F27*O231*yr7percent*(1+$K$15)^6)),0),0)),"")</f>
        <v/>
      </c>
      <c r="L231" s="115" t="str">
        <f t="shared" si="48"/>
        <v/>
      </c>
      <c r="M231" s="266" t="str">
        <f t="shared" si="44"/>
        <v/>
      </c>
      <c r="N231" s="118" t="str">
        <f t="shared" si="45"/>
        <v/>
      </c>
      <c r="O231" s="185" t="str">
        <f t="shared" si="46"/>
        <v/>
      </c>
      <c r="P231" s="682"/>
      <c r="Q231" s="679"/>
      <c r="R231" s="674"/>
      <c r="S231" s="674"/>
      <c r="T231" s="674"/>
      <c r="U231" s="674"/>
      <c r="V231" s="674"/>
      <c r="W231" s="679"/>
      <c r="X231" s="679"/>
      <c r="Y231" s="674"/>
      <c r="Z231" s="674"/>
      <c r="AA231" s="674"/>
    </row>
    <row r="232" spans="1:27" ht="12.75" customHeight="1" x14ac:dyDescent="0.25">
      <c r="A232" s="114" t="str">
        <f t="shared" si="37"/>
        <v/>
      </c>
      <c r="B232" s="130" t="str">
        <f t="shared" si="38"/>
        <v/>
      </c>
      <c r="C232" s="130" t="str">
        <f>IFERROR(IF(ROUND(IF(totalyrs&gt;5,IF('Salary Detail'!$F$18="X",(IF(F28*(1+$K$15)^5&gt; MAXSAL,(MAXSAL*G232),(F28*G232*yr6percent*(1+$K$15)^5))),(F28*G232*yr6percent*(1+$K$15)^5)),0),0)=0,"",ROUND(IF(totalyrs&gt;5,IF('Salary Detail'!$F$18="X",(IF(F28*(1+$K$15)^5&gt; MAXSAL,(MAXSAL*G232),(F28*G232*yr6percent*(1+$K$15)^5))),(F28*G232*yr6percent*(1+$K$15)^5)),0),0)),"")</f>
        <v/>
      </c>
      <c r="D232" s="115" t="str">
        <f t="shared" si="47"/>
        <v/>
      </c>
      <c r="E232" s="266" t="str">
        <f t="shared" si="39"/>
        <v/>
      </c>
      <c r="F232" s="116" t="str">
        <f t="shared" si="40"/>
        <v/>
      </c>
      <c r="G232" s="183" t="str">
        <f t="shared" si="41"/>
        <v/>
      </c>
      <c r="H232" s="910" t="str">
        <f t="shared" si="42"/>
        <v/>
      </c>
      <c r="I232" s="939"/>
      <c r="J232" s="271" t="str">
        <f t="shared" si="43"/>
        <v/>
      </c>
      <c r="K232" s="131" t="str">
        <f>IFERROR(IF(ROUND(IF(totalyrs&gt;6,IF('Salary Detail'!$F$18="X",(IF(F28*(1+$K$15)^6&gt; MAXSAL,(MAXSAL*O232),(F28*O232*yr7percent*(1+$K$15)^6))),(F28*O232*yr7percent*(1+$K$15)^6)),0),0)=0,"",ROUND(IF(totalyrs&gt;6,IF('Salary Detail'!$F$18="X",(IF(F28*(1+$K$15)^6&gt; MAXSAL,(MAXSAL*O232),(F28*O232*yr7percent*(1+$K$15)^6))),(F28*O232*yr7percent*(1+$K$15)^6)),0),0)),"")</f>
        <v/>
      </c>
      <c r="L232" s="115" t="str">
        <f t="shared" si="48"/>
        <v/>
      </c>
      <c r="M232" s="266" t="str">
        <f t="shared" si="44"/>
        <v/>
      </c>
      <c r="N232" s="118" t="str">
        <f t="shared" si="45"/>
        <v/>
      </c>
      <c r="O232" s="185" t="str">
        <f t="shared" si="46"/>
        <v/>
      </c>
      <c r="P232" s="682"/>
      <c r="Q232" s="679"/>
      <c r="R232" s="674"/>
      <c r="S232" s="674"/>
      <c r="T232" s="674"/>
      <c r="U232" s="674"/>
      <c r="V232" s="674"/>
      <c r="W232" s="679"/>
      <c r="X232" s="679"/>
      <c r="Y232" s="674"/>
      <c r="Z232" s="674"/>
      <c r="AA232" s="674"/>
    </row>
    <row r="233" spans="1:27" ht="12.75" customHeight="1" x14ac:dyDescent="0.25">
      <c r="A233" s="114" t="str">
        <f t="shared" si="37"/>
        <v/>
      </c>
      <c r="B233" s="130" t="str">
        <f t="shared" si="38"/>
        <v/>
      </c>
      <c r="C233" s="130" t="str">
        <f>IFERROR(IF(ROUND(IF(totalyrs&gt;5,IF('Salary Detail'!$F$18="X",(IF(F29*(1+$K$15)^5&gt; MAXSAL,(MAXSAL*G233),(F29*G233*yr6percent*(1+$K$15)^5))),(F29*G233*yr6percent*(1+$K$15)^5)),0),0)=0,"",ROUND(IF(totalyrs&gt;5,IF('Salary Detail'!$F$18="X",(IF(F29*(1+$K$15)^5&gt; MAXSAL,(MAXSAL*G233),(F29*G233*yr6percent*(1+$K$15)^5))),(F29*G233*yr6percent*(1+$K$15)^5)),0),0)),"")</f>
        <v/>
      </c>
      <c r="D233" s="115" t="str">
        <f t="shared" si="47"/>
        <v/>
      </c>
      <c r="E233" s="266" t="str">
        <f t="shared" si="39"/>
        <v/>
      </c>
      <c r="F233" s="116" t="str">
        <f t="shared" si="40"/>
        <v/>
      </c>
      <c r="G233" s="183" t="str">
        <f t="shared" si="41"/>
        <v/>
      </c>
      <c r="H233" s="910" t="str">
        <f t="shared" si="42"/>
        <v/>
      </c>
      <c r="I233" s="939"/>
      <c r="J233" s="271" t="str">
        <f t="shared" si="43"/>
        <v/>
      </c>
      <c r="K233" s="131" t="str">
        <f>IFERROR(IF(ROUND(IF(totalyrs&gt;6,IF('Salary Detail'!$F$18="X",(IF(F29*(1+$K$15)^6&gt; MAXSAL,(MAXSAL*O233),(F29*O233*yr7percent*(1+$K$15)^6))),(F29*O233*yr7percent*(1+$K$15)^6)),0),0)=0,"",ROUND(IF(totalyrs&gt;6,IF('Salary Detail'!$F$18="X",(IF(F29*(1+$K$15)^6&gt; MAXSAL,(MAXSAL*O233),(F29*O233*yr7percent*(1+$K$15)^6))),(F29*O233*yr7percent*(1+$K$15)^6)),0),0)),"")</f>
        <v/>
      </c>
      <c r="L233" s="115" t="str">
        <f t="shared" si="48"/>
        <v/>
      </c>
      <c r="M233" s="266" t="str">
        <f t="shared" si="44"/>
        <v/>
      </c>
      <c r="N233" s="118" t="str">
        <f t="shared" si="45"/>
        <v/>
      </c>
      <c r="O233" s="185" t="str">
        <f t="shared" si="46"/>
        <v/>
      </c>
      <c r="P233" s="682"/>
      <c r="Q233" s="679"/>
      <c r="R233" s="674"/>
      <c r="S233" s="674"/>
      <c r="T233" s="674"/>
      <c r="U233" s="674"/>
      <c r="V233" s="674"/>
      <c r="W233" s="679"/>
      <c r="X233" s="679"/>
      <c r="Y233" s="674"/>
      <c r="Z233" s="674"/>
      <c r="AA233" s="674"/>
    </row>
    <row r="234" spans="1:27" ht="12.75" customHeight="1" x14ac:dyDescent="0.25">
      <c r="A234" s="114" t="str">
        <f t="shared" si="37"/>
        <v/>
      </c>
      <c r="B234" s="130" t="str">
        <f t="shared" si="38"/>
        <v/>
      </c>
      <c r="C234" s="130" t="str">
        <f>IFERROR(IF(ROUND(IF(totalyrs&gt;5,IF('Salary Detail'!$F$18="X",(IF(F30*(1+$K$15)^5&gt; MAXSAL,(MAXSAL*G234),(F30*G234*yr6percent*(1+$K$15)^5))),(F30*G234*yr6percent*(1+$K$15)^5)),0),0)=0,"",ROUND(IF(totalyrs&gt;5,IF('Salary Detail'!$F$18="X",(IF(F30*(1+$K$15)^5&gt; MAXSAL,(MAXSAL*G234),(F30*G234*yr6percent*(1+$K$15)^5))),(F30*G234*yr6percent*(1+$K$15)^5)),0),0)),"")</f>
        <v/>
      </c>
      <c r="D234" s="115" t="str">
        <f t="shared" si="47"/>
        <v/>
      </c>
      <c r="E234" s="266" t="str">
        <f t="shared" si="39"/>
        <v/>
      </c>
      <c r="F234" s="116" t="str">
        <f t="shared" si="40"/>
        <v/>
      </c>
      <c r="G234" s="183" t="str">
        <f t="shared" si="41"/>
        <v/>
      </c>
      <c r="H234" s="910" t="str">
        <f t="shared" si="42"/>
        <v/>
      </c>
      <c r="I234" s="939"/>
      <c r="J234" s="271" t="str">
        <f t="shared" si="43"/>
        <v/>
      </c>
      <c r="K234" s="131" t="str">
        <f>IFERROR(IF(ROUND(IF(totalyrs&gt;6,IF('Salary Detail'!$F$18="X",(IF(F30*(1+$K$15)^6&gt; MAXSAL,(MAXSAL*O234),(F30*O234*yr7percent*(1+$K$15)^6))),(F30*O234*yr7percent*(1+$K$15)^6)),0),0)=0,"",ROUND(IF(totalyrs&gt;6,IF('Salary Detail'!$F$18="X",(IF(F30*(1+$K$15)^6&gt; MAXSAL,(MAXSAL*O234),(F30*O234*yr7percent*(1+$K$15)^6))),(F30*O234*yr7percent*(1+$K$15)^6)),0),0)),"")</f>
        <v/>
      </c>
      <c r="L234" s="115" t="str">
        <f t="shared" si="48"/>
        <v/>
      </c>
      <c r="M234" s="266" t="str">
        <f t="shared" si="44"/>
        <v/>
      </c>
      <c r="N234" s="118" t="str">
        <f t="shared" si="45"/>
        <v/>
      </c>
      <c r="O234" s="185" t="str">
        <f t="shared" si="46"/>
        <v/>
      </c>
      <c r="P234" s="682"/>
      <c r="Q234" s="679"/>
      <c r="R234" s="674"/>
      <c r="S234" s="674"/>
      <c r="T234" s="674"/>
      <c r="U234" s="674"/>
      <c r="V234" s="674"/>
      <c r="W234" s="679"/>
      <c r="X234" s="679"/>
      <c r="Y234" s="674"/>
      <c r="Z234" s="674"/>
      <c r="AA234" s="674"/>
    </row>
    <row r="235" spans="1:27" x14ac:dyDescent="0.25">
      <c r="A235" s="114" t="str">
        <f t="shared" si="37"/>
        <v/>
      </c>
      <c r="B235" s="130" t="str">
        <f t="shared" si="38"/>
        <v/>
      </c>
      <c r="C235" s="130" t="str">
        <f>IFERROR(IF(ROUND(IF(totalyrs&gt;5,IF('Salary Detail'!$F$18="X",(IF(F31*(1+$K$15)^5&gt; MAXSAL,(MAXSAL*G235),(F31*G235*yr6percent*(1+$K$15)^5))),(F31*G235*yr6percent*(1+$K$15)^5)),0),0)=0,"",ROUND(IF(totalyrs&gt;5,IF('Salary Detail'!$F$18="X",(IF(F31*(1+$K$15)^5&gt; MAXSAL,(MAXSAL*G235),(F31*G235*yr6percent*(1+$K$15)^5))),(F31*G235*yr6percent*(1+$K$15)^5)),0),0)),"")</f>
        <v/>
      </c>
      <c r="D235" s="115" t="str">
        <f t="shared" si="47"/>
        <v/>
      </c>
      <c r="E235" s="266" t="str">
        <f t="shared" si="39"/>
        <v/>
      </c>
      <c r="F235" s="116" t="str">
        <f t="shared" si="40"/>
        <v/>
      </c>
      <c r="G235" s="183" t="str">
        <f t="shared" si="41"/>
        <v/>
      </c>
      <c r="H235" s="910" t="str">
        <f t="shared" si="42"/>
        <v/>
      </c>
      <c r="I235" s="939"/>
      <c r="J235" s="271" t="str">
        <f t="shared" si="43"/>
        <v/>
      </c>
      <c r="K235" s="131" t="str">
        <f>IFERROR(IF(ROUND(IF(totalyrs&gt;6,IF('Salary Detail'!$F$18="X",(IF(F31*(1+$K$15)^6&gt; MAXSAL,(MAXSAL*O235),(F31*O235*yr7percent*(1+$K$15)^6))),(F31*O235*yr7percent*(1+$K$15)^6)),0),0)=0,"",ROUND(IF(totalyrs&gt;6,IF('Salary Detail'!$F$18="X",(IF(F31*(1+$K$15)^6&gt; MAXSAL,(MAXSAL*O235),(F31*O235*yr7percent*(1+$K$15)^6))),(F31*O235*yr7percent*(1+$K$15)^6)),0),0)),"")</f>
        <v/>
      </c>
      <c r="L235" s="115" t="str">
        <f t="shared" si="48"/>
        <v/>
      </c>
      <c r="M235" s="266" t="str">
        <f t="shared" si="44"/>
        <v/>
      </c>
      <c r="N235" s="118" t="str">
        <f t="shared" si="45"/>
        <v/>
      </c>
      <c r="O235" s="185" t="str">
        <f t="shared" si="46"/>
        <v/>
      </c>
      <c r="P235" s="682"/>
      <c r="Q235" s="679"/>
      <c r="R235" s="674"/>
      <c r="S235" s="674"/>
      <c r="T235" s="674"/>
      <c r="U235" s="674"/>
      <c r="V235" s="674"/>
      <c r="W235" s="679"/>
      <c r="X235" s="679"/>
      <c r="Y235" s="674"/>
      <c r="Z235" s="674"/>
      <c r="AA235" s="674"/>
    </row>
    <row r="236" spans="1:27" x14ac:dyDescent="0.25">
      <c r="A236" s="114" t="str">
        <f t="shared" si="37"/>
        <v/>
      </c>
      <c r="B236" s="130" t="str">
        <f t="shared" si="38"/>
        <v/>
      </c>
      <c r="C236" s="130" t="str">
        <f>IFERROR(IF(ROUND(IF(totalyrs&gt;5,IF('Salary Detail'!$F$18="X",(IF(F32*(1+$K$15)^5&gt; MAXSAL,(MAXSAL*G236),(F32*G236*yr6percent*(1+$K$15)^5))),(F32*G236*yr6percent*(1+$K$15)^5)),0),0)=0,"",ROUND(IF(totalyrs&gt;5,IF('Salary Detail'!$F$18="X",(IF(F32*(1+$K$15)^5&gt; MAXSAL,(MAXSAL*G236),(F32*G236*yr6percent*(1+$K$15)^5))),(F32*G236*yr6percent*(1+$K$15)^5)),0),0)),"")</f>
        <v/>
      </c>
      <c r="D236" s="115" t="str">
        <f t="shared" si="47"/>
        <v/>
      </c>
      <c r="E236" s="266" t="str">
        <f t="shared" si="39"/>
        <v/>
      </c>
      <c r="F236" s="116" t="str">
        <f t="shared" si="40"/>
        <v/>
      </c>
      <c r="G236" s="183" t="str">
        <f t="shared" si="41"/>
        <v/>
      </c>
      <c r="H236" s="910" t="str">
        <f t="shared" si="42"/>
        <v/>
      </c>
      <c r="I236" s="939"/>
      <c r="J236" s="271" t="str">
        <f t="shared" si="43"/>
        <v/>
      </c>
      <c r="K236" s="131" t="str">
        <f>IFERROR(IF(ROUND(IF(totalyrs&gt;6,IF('Salary Detail'!$F$18="X",(IF(F32*(1+$K$15)^6&gt; MAXSAL,(MAXSAL*O236),(F32*O236*yr7percent*(1+$K$15)^6))),(F32*O236*yr7percent*(1+$K$15)^6)),0),0)=0,"",ROUND(IF(totalyrs&gt;6,IF('Salary Detail'!$F$18="X",(IF(F32*(1+$K$15)^6&gt; MAXSAL,(MAXSAL*O236),(F32*O236*yr7percent*(1+$K$15)^6))),(F32*O236*yr7percent*(1+$K$15)^6)),0),0)),"")</f>
        <v/>
      </c>
      <c r="L236" s="115" t="str">
        <f t="shared" si="48"/>
        <v/>
      </c>
      <c r="M236" s="266" t="str">
        <f t="shared" si="44"/>
        <v/>
      </c>
      <c r="N236" s="118" t="str">
        <f t="shared" si="45"/>
        <v/>
      </c>
      <c r="O236" s="185" t="str">
        <f t="shared" si="46"/>
        <v/>
      </c>
      <c r="P236" s="682"/>
      <c r="Q236" s="679"/>
      <c r="R236" s="674"/>
      <c r="S236" s="674"/>
      <c r="T236" s="674"/>
      <c r="U236" s="674"/>
      <c r="V236" s="674"/>
      <c r="W236" s="679"/>
      <c r="X236" s="679"/>
      <c r="Y236" s="674"/>
      <c r="Z236" s="674"/>
      <c r="AA236" s="674"/>
    </row>
    <row r="237" spans="1:27" x14ac:dyDescent="0.25">
      <c r="A237" s="114" t="str">
        <f t="shared" si="37"/>
        <v/>
      </c>
      <c r="B237" s="130" t="str">
        <f t="shared" si="38"/>
        <v/>
      </c>
      <c r="C237" s="130" t="str">
        <f>IFERROR(IF(ROUND(IF(totalyrs&gt;5,IF('Salary Detail'!$F$18="X",(IF(F33*(1+$K$15)^5&gt; MAXSAL,(MAXSAL*G237),(F33*G237*yr6percent*(1+$K$15)^5))),(F33*G237*yr6percent*(1+$K$15)^5)),0),0)=0,"",ROUND(IF(totalyrs&gt;5,IF('Salary Detail'!$F$18="X",(IF(F33*(1+$K$15)^5&gt; MAXSAL,(MAXSAL*G237),(F33*G237*yr6percent*(1+$K$15)^5))),(F33*G237*yr6percent*(1+$K$15)^5)),0),0)),"")</f>
        <v/>
      </c>
      <c r="D237" s="115" t="str">
        <f t="shared" si="47"/>
        <v/>
      </c>
      <c r="E237" s="266" t="str">
        <f t="shared" si="39"/>
        <v/>
      </c>
      <c r="F237" s="116" t="str">
        <f t="shared" si="40"/>
        <v/>
      </c>
      <c r="G237" s="183" t="str">
        <f t="shared" si="41"/>
        <v/>
      </c>
      <c r="H237" s="910" t="str">
        <f t="shared" si="42"/>
        <v/>
      </c>
      <c r="I237" s="939"/>
      <c r="J237" s="271" t="str">
        <f t="shared" si="43"/>
        <v/>
      </c>
      <c r="K237" s="131" t="str">
        <f>IFERROR(IF(ROUND(IF(totalyrs&gt;6,IF('Salary Detail'!$F$18="X",(IF(F33*(1+$K$15)^6&gt; MAXSAL,(MAXSAL*O237),(F33*O237*yr7percent*(1+$K$15)^6))),(F33*O237*yr7percent*(1+$K$15)^6)),0),0)=0,"",ROUND(IF(totalyrs&gt;6,IF('Salary Detail'!$F$18="X",(IF(F33*(1+$K$15)^6&gt; MAXSAL,(MAXSAL*O237),(F33*O237*yr7percent*(1+$K$15)^6))),(F33*O237*yr7percent*(1+$K$15)^6)),0),0)),"")</f>
        <v/>
      </c>
      <c r="L237" s="115" t="str">
        <f t="shared" si="48"/>
        <v/>
      </c>
      <c r="M237" s="266" t="str">
        <f t="shared" si="44"/>
        <v/>
      </c>
      <c r="N237" s="118" t="str">
        <f t="shared" si="45"/>
        <v/>
      </c>
      <c r="O237" s="185" t="str">
        <f t="shared" si="46"/>
        <v/>
      </c>
      <c r="P237" s="682"/>
      <c r="Q237" s="679"/>
      <c r="R237" s="674"/>
      <c r="S237" s="674"/>
      <c r="T237" s="674"/>
      <c r="U237" s="674"/>
      <c r="V237" s="674"/>
      <c r="W237" s="679"/>
      <c r="X237" s="679"/>
      <c r="Y237" s="674"/>
      <c r="Z237" s="674"/>
      <c r="AA237" s="674"/>
    </row>
    <row r="238" spans="1:27" x14ac:dyDescent="0.25">
      <c r="A238" s="114" t="str">
        <f t="shared" si="37"/>
        <v/>
      </c>
      <c r="B238" s="130" t="str">
        <f t="shared" si="38"/>
        <v/>
      </c>
      <c r="C238" s="130" t="str">
        <f>IFERROR(IF(ROUND(IF(totalyrs&gt;5,IF('Salary Detail'!$F$18="X",(IF(F34*(1+$K$15)^5&gt; MAXSAL,(MAXSAL*G238),(F34*G238*yr6percent*(1+$K$15)^5))),(F34*G238*yr6percent*(1+$K$15)^5)),0),0)=0,"",ROUND(IF(totalyrs&gt;5,IF('Salary Detail'!$F$18="X",(IF(F34*(1+$K$15)^5&gt; MAXSAL,(MAXSAL*G238),(F34*G238*yr6percent*(1+$K$15)^5))),(F34*G238*yr6percent*(1+$K$15)^5)),0),0)),"")</f>
        <v/>
      </c>
      <c r="D238" s="115" t="str">
        <f t="shared" si="47"/>
        <v/>
      </c>
      <c r="E238" s="266" t="str">
        <f t="shared" si="39"/>
        <v/>
      </c>
      <c r="F238" s="116" t="str">
        <f t="shared" si="40"/>
        <v/>
      </c>
      <c r="G238" s="183" t="str">
        <f t="shared" si="41"/>
        <v/>
      </c>
      <c r="H238" s="910" t="str">
        <f t="shared" si="42"/>
        <v/>
      </c>
      <c r="I238" s="939"/>
      <c r="J238" s="271" t="str">
        <f t="shared" si="43"/>
        <v/>
      </c>
      <c r="K238" s="131" t="str">
        <f>IFERROR(IF(ROUND(IF(totalyrs&gt;6,IF('Salary Detail'!$F$18="X",(IF(F34*(1+$K$15)^6&gt; MAXSAL,(MAXSAL*O238),(F34*O238*yr7percent*(1+$K$15)^6))),(F34*O238*yr7percent*(1+$K$15)^6)),0),0)=0,"",ROUND(IF(totalyrs&gt;6,IF('Salary Detail'!$F$18="X",(IF(F34*(1+$K$15)^6&gt; MAXSAL,(MAXSAL*O238),(F34*O238*yr7percent*(1+$K$15)^6))),(F34*O238*yr7percent*(1+$K$15)^6)),0),0)),"")</f>
        <v/>
      </c>
      <c r="L238" s="115" t="str">
        <f t="shared" si="48"/>
        <v/>
      </c>
      <c r="M238" s="266" t="str">
        <f t="shared" si="44"/>
        <v/>
      </c>
      <c r="N238" s="118" t="str">
        <f t="shared" si="45"/>
        <v/>
      </c>
      <c r="O238" s="185" t="str">
        <f t="shared" si="46"/>
        <v/>
      </c>
      <c r="P238" s="687"/>
      <c r="Q238" s="687"/>
      <c r="R238" s="674"/>
      <c r="S238" s="674"/>
      <c r="T238" s="674"/>
      <c r="U238" s="674"/>
      <c r="V238" s="674"/>
      <c r="W238" s="679"/>
      <c r="X238" s="679"/>
      <c r="Y238" s="674"/>
      <c r="Z238" s="674"/>
      <c r="AA238" s="674"/>
    </row>
    <row r="239" spans="1:27" ht="12.75" customHeight="1" x14ac:dyDescent="0.25">
      <c r="A239" s="114" t="str">
        <f t="shared" si="37"/>
        <v/>
      </c>
      <c r="B239" s="130" t="str">
        <f t="shared" si="38"/>
        <v/>
      </c>
      <c r="C239" s="130" t="str">
        <f>IFERROR(IF(ROUND(IF(totalyrs&gt;5,IF('Salary Detail'!$F$18="X",(IF(F35*(1+$K$15)^5&gt; MAXSAL,(MAXSAL*G239),(F35*G239*yr6percent*(1+$K$15)^5))),(F35*G239*yr6percent*(1+$K$15)^5)),0),0)=0,"",ROUND(IF(totalyrs&gt;5,IF('Salary Detail'!$F$18="X",(IF(F35*(1+$K$15)^5&gt; MAXSAL,(MAXSAL*G239),(F35*G239*yr6percent*(1+$K$15)^5))),(F35*G239*yr6percent*(1+$K$15)^5)),0),0)),"")</f>
        <v/>
      </c>
      <c r="D239" s="115" t="str">
        <f t="shared" si="47"/>
        <v/>
      </c>
      <c r="E239" s="266" t="str">
        <f t="shared" si="39"/>
        <v/>
      </c>
      <c r="F239" s="116" t="str">
        <f t="shared" si="40"/>
        <v/>
      </c>
      <c r="G239" s="183" t="str">
        <f t="shared" si="41"/>
        <v/>
      </c>
      <c r="H239" s="910" t="str">
        <f t="shared" si="42"/>
        <v/>
      </c>
      <c r="I239" s="939"/>
      <c r="J239" s="271" t="str">
        <f t="shared" si="43"/>
        <v/>
      </c>
      <c r="K239" s="131" t="str">
        <f>IFERROR(IF(ROUND(IF(totalyrs&gt;6,IF('Salary Detail'!$F$18="X",(IF(F35*(1+$K$15)^6&gt; MAXSAL,(MAXSAL*O239),(F35*O239*yr7percent*(1+$K$15)^6))),(F35*O239*yr7percent*(1+$K$15)^6)),0),0)=0,"",ROUND(IF(totalyrs&gt;6,IF('Salary Detail'!$F$18="X",(IF(F35*(1+$K$15)^6&gt; MAXSAL,(MAXSAL*O239),(F35*O239*yr7percent*(1+$K$15)^6))),(F35*O239*yr7percent*(1+$K$15)^6)),0),0)),"")</f>
        <v/>
      </c>
      <c r="L239" s="115" t="str">
        <f t="shared" si="48"/>
        <v/>
      </c>
      <c r="M239" s="266" t="str">
        <f t="shared" si="44"/>
        <v/>
      </c>
      <c r="N239" s="118" t="str">
        <f t="shared" si="45"/>
        <v/>
      </c>
      <c r="O239" s="185" t="str">
        <f t="shared" si="46"/>
        <v/>
      </c>
      <c r="P239" s="687"/>
      <c r="Q239" s="687"/>
      <c r="R239" s="674"/>
      <c r="S239" s="674"/>
      <c r="T239" s="674"/>
      <c r="U239" s="674"/>
      <c r="V239" s="674"/>
      <c r="W239" s="679"/>
      <c r="X239" s="679"/>
      <c r="Y239" s="674"/>
      <c r="Z239" s="674"/>
      <c r="AA239" s="674"/>
    </row>
    <row r="240" spans="1:27" x14ac:dyDescent="0.25">
      <c r="A240" s="114" t="str">
        <f t="shared" si="37"/>
        <v/>
      </c>
      <c r="B240" s="130" t="str">
        <f t="shared" si="38"/>
        <v/>
      </c>
      <c r="C240" s="130" t="str">
        <f>IFERROR(IF(ROUND(IF(totalyrs&gt;5,IF('Salary Detail'!$F$18="X",(IF(F36*(1+$K$15)^5&gt; MAXSAL,(MAXSAL*G240),(F36*G240*yr6percent*(1+$K$15)^5))),(F36*G240*yr6percent*(1+$K$15)^5)),0),0)=0,"",ROUND(IF(totalyrs&gt;5,IF('Salary Detail'!$F$18="X",(IF(F36*(1+$K$15)^5&gt; MAXSAL,(MAXSAL*G240),(F36*G240*yr6percent*(1+$K$15)^5))),(F36*G240*yr6percent*(1+$K$15)^5)),0),0)),"")</f>
        <v/>
      </c>
      <c r="D240" s="115" t="str">
        <f t="shared" si="47"/>
        <v/>
      </c>
      <c r="E240" s="266" t="str">
        <f t="shared" si="39"/>
        <v/>
      </c>
      <c r="F240" s="116" t="str">
        <f t="shared" si="40"/>
        <v/>
      </c>
      <c r="G240" s="183" t="str">
        <f t="shared" si="41"/>
        <v/>
      </c>
      <c r="H240" s="910" t="str">
        <f t="shared" si="42"/>
        <v/>
      </c>
      <c r="I240" s="939"/>
      <c r="J240" s="271" t="str">
        <f t="shared" si="43"/>
        <v/>
      </c>
      <c r="K240" s="131" t="str">
        <f>IFERROR(IF(ROUND(IF(totalyrs&gt;6,IF('Salary Detail'!$F$18="X",(IF(F36*(1+$K$15)^6&gt; MAXSAL,(MAXSAL*O240),(F36*O240*yr7percent*(1+$K$15)^6))),(F36*O240*yr7percent*(1+$K$15)^6)),0),0)=0,"",ROUND(IF(totalyrs&gt;6,IF('Salary Detail'!$F$18="X",(IF(F36*(1+$K$15)^6&gt; MAXSAL,(MAXSAL*O240),(F36*O240*yr7percent*(1+$K$15)^6))),(F36*O240*yr7percent*(1+$K$15)^6)),0),0)),"")</f>
        <v/>
      </c>
      <c r="L240" s="115" t="str">
        <f t="shared" si="48"/>
        <v/>
      </c>
      <c r="M240" s="266" t="str">
        <f t="shared" si="44"/>
        <v/>
      </c>
      <c r="N240" s="118" t="str">
        <f t="shared" si="45"/>
        <v/>
      </c>
      <c r="O240" s="185" t="str">
        <f t="shared" si="46"/>
        <v/>
      </c>
      <c r="P240" s="687"/>
      <c r="Q240" s="687"/>
      <c r="R240" s="674"/>
      <c r="S240" s="674"/>
      <c r="T240" s="674"/>
      <c r="U240" s="674"/>
      <c r="V240" s="674"/>
      <c r="W240" s="679"/>
      <c r="X240" s="679"/>
      <c r="Y240" s="674"/>
      <c r="Z240" s="674"/>
      <c r="AA240" s="674"/>
    </row>
    <row r="241" spans="1:27" x14ac:dyDescent="0.25">
      <c r="A241" s="114" t="str">
        <f t="shared" si="37"/>
        <v/>
      </c>
      <c r="B241" s="130" t="str">
        <f t="shared" si="38"/>
        <v/>
      </c>
      <c r="C241" s="130" t="str">
        <f>IFERROR(IF(ROUND(IF(totalyrs&gt;5,IF('Salary Detail'!$F$18="X",(IF(F37*(1+$K$15)^5&gt; MAXSAL,(MAXSAL*G241),(F37*G241*yr6percent*(1+$K$15)^5))),(F37*G241*yr6percent*(1+$K$15)^5)),0),0)=0,"",ROUND(IF(totalyrs&gt;5,IF('Salary Detail'!$F$18="X",(IF(F37*(1+$K$15)^5&gt; MAXSAL,(MAXSAL*G241),(F37*G241*yr6percent*(1+$K$15)^5))),(F37*G241*yr6percent*(1+$K$15)^5)),0),0)),"")</f>
        <v/>
      </c>
      <c r="D241" s="115" t="str">
        <f t="shared" si="47"/>
        <v/>
      </c>
      <c r="E241" s="266" t="str">
        <f t="shared" si="39"/>
        <v/>
      </c>
      <c r="F241" s="116" t="str">
        <f t="shared" si="40"/>
        <v/>
      </c>
      <c r="G241" s="183" t="str">
        <f t="shared" si="41"/>
        <v/>
      </c>
      <c r="H241" s="910" t="str">
        <f t="shared" si="42"/>
        <v/>
      </c>
      <c r="I241" s="939"/>
      <c r="J241" s="271" t="str">
        <f t="shared" si="43"/>
        <v/>
      </c>
      <c r="K241" s="131" t="str">
        <f>IFERROR(IF(ROUND(IF(totalyrs&gt;6,IF('Salary Detail'!$F$18="X",(IF(F37*(1+$K$15)^6&gt; MAXSAL,(MAXSAL*O241),(F37*O241*yr7percent*(1+$K$15)^6))),(F37*O241*yr7percent*(1+$K$15)^6)),0),0)=0,"",ROUND(IF(totalyrs&gt;6,IF('Salary Detail'!$F$18="X",(IF(F37*(1+$K$15)^6&gt; MAXSAL,(MAXSAL*O241),(F37*O241*yr7percent*(1+$K$15)^6))),(F37*O241*yr7percent*(1+$K$15)^6)),0),0)),"")</f>
        <v/>
      </c>
      <c r="L241" s="115" t="str">
        <f t="shared" si="48"/>
        <v/>
      </c>
      <c r="M241" s="266" t="str">
        <f t="shared" si="44"/>
        <v/>
      </c>
      <c r="N241" s="118" t="str">
        <f t="shared" si="45"/>
        <v/>
      </c>
      <c r="O241" s="185" t="str">
        <f t="shared" si="46"/>
        <v/>
      </c>
      <c r="P241" s="679"/>
      <c r="Q241" s="679"/>
      <c r="R241" s="674"/>
      <c r="S241" s="674"/>
      <c r="T241" s="674"/>
      <c r="U241" s="674"/>
      <c r="V241" s="674"/>
      <c r="W241" s="679"/>
      <c r="X241" s="679"/>
      <c r="Y241" s="674"/>
      <c r="Z241" s="674"/>
      <c r="AA241" s="674"/>
    </row>
    <row r="242" spans="1:27" x14ac:dyDescent="0.25">
      <c r="A242" s="114" t="str">
        <f t="shared" si="37"/>
        <v/>
      </c>
      <c r="B242" s="130" t="str">
        <f t="shared" si="38"/>
        <v/>
      </c>
      <c r="C242" s="130" t="str">
        <f>IFERROR(IF(ROUND(IF(totalyrs&gt;5,IF('Salary Detail'!$F$18="X",(IF(F38*(1+$K$15)^5&gt; MAXSAL,(MAXSAL*G242),(F38*G242*yr6percent*(1+$K$15)^5))),(F38*G242*yr6percent*(1+$K$15)^5)),0),0)=0,"",ROUND(IF(totalyrs&gt;5,IF('Salary Detail'!$F$18="X",(IF(F38*(1+$K$15)^5&gt; MAXSAL,(MAXSAL*G242),(F38*G242*yr6percent*(1+$K$15)^5))),(F38*G242*yr6percent*(1+$K$15)^5)),0),0)),"")</f>
        <v/>
      </c>
      <c r="D242" s="115" t="str">
        <f t="shared" si="47"/>
        <v/>
      </c>
      <c r="E242" s="266" t="str">
        <f t="shared" si="39"/>
        <v/>
      </c>
      <c r="F242" s="116" t="str">
        <f t="shared" si="40"/>
        <v/>
      </c>
      <c r="G242" s="183" t="str">
        <f t="shared" si="41"/>
        <v/>
      </c>
      <c r="H242" s="910" t="str">
        <f t="shared" si="42"/>
        <v/>
      </c>
      <c r="I242" s="939"/>
      <c r="J242" s="271" t="str">
        <f t="shared" si="43"/>
        <v/>
      </c>
      <c r="K242" s="131" t="str">
        <f>IFERROR(IF(ROUND(IF(totalyrs&gt;6,IF('Salary Detail'!$F$18="X",(IF(F38*(1+$K$15)^6&gt; MAXSAL,(MAXSAL*O242),(F38*O242*yr7percent*(1+$K$15)^6))),(F38*O242*yr7percent*(1+$K$15)^6)),0),0)=0,"",ROUND(IF(totalyrs&gt;6,IF('Salary Detail'!$F$18="X",(IF(F38*(1+$K$15)^6&gt; MAXSAL,(MAXSAL*O242),(F38*O242*yr7percent*(1+$K$15)^6))),(F38*O242*yr7percent*(1+$K$15)^6)),0),0)),"")</f>
        <v/>
      </c>
      <c r="L242" s="115" t="str">
        <f t="shared" si="48"/>
        <v/>
      </c>
      <c r="M242" s="266" t="str">
        <f t="shared" si="44"/>
        <v/>
      </c>
      <c r="N242" s="118" t="str">
        <f t="shared" si="45"/>
        <v/>
      </c>
      <c r="O242" s="185" t="str">
        <f t="shared" si="46"/>
        <v/>
      </c>
      <c r="P242" s="679"/>
      <c r="Q242" s="679"/>
      <c r="R242" s="674"/>
      <c r="S242" s="674"/>
      <c r="T242" s="674"/>
      <c r="U242" s="674"/>
      <c r="V242" s="674"/>
      <c r="W242" s="679"/>
      <c r="X242" s="679"/>
      <c r="Y242" s="674"/>
      <c r="Z242" s="674"/>
      <c r="AA242" s="674"/>
    </row>
    <row r="243" spans="1:27" x14ac:dyDescent="0.25">
      <c r="A243" s="114" t="str">
        <f t="shared" si="37"/>
        <v/>
      </c>
      <c r="B243" s="130" t="str">
        <f t="shared" si="38"/>
        <v/>
      </c>
      <c r="C243" s="130" t="str">
        <f>IFERROR(IF(ROUND(IF(totalyrs&gt;5,IF('Salary Detail'!$F$18="X",(IF(F39*(1+$K$15)^5&gt; MAXSAL,(MAXSAL*G243),(F39*G243*yr6percent*(1+$K$15)^5))),(F39*G243*yr6percent*(1+$K$15)^5)),0),0)=0,"",ROUND(IF(totalyrs&gt;5,IF('Salary Detail'!$F$18="X",(IF(F39*(1+$K$15)^5&gt; MAXSAL,(MAXSAL*G243),(F39*G243*yr6percent*(1+$K$15)^5))),(F39*G243*yr6percent*(1+$K$15)^5)),0),0)),"")</f>
        <v/>
      </c>
      <c r="D243" s="115" t="str">
        <f t="shared" si="47"/>
        <v/>
      </c>
      <c r="E243" s="266" t="str">
        <f t="shared" si="39"/>
        <v/>
      </c>
      <c r="F243" s="116" t="str">
        <f t="shared" si="40"/>
        <v/>
      </c>
      <c r="G243" s="183" t="str">
        <f t="shared" si="41"/>
        <v/>
      </c>
      <c r="H243" s="910" t="str">
        <f t="shared" si="42"/>
        <v/>
      </c>
      <c r="I243" s="939"/>
      <c r="J243" s="271" t="str">
        <f t="shared" si="43"/>
        <v/>
      </c>
      <c r="K243" s="131" t="str">
        <f>IFERROR(IF(ROUND(IF(totalyrs&gt;6,IF('Salary Detail'!$F$18="X",(IF(F39*(1+$K$15)^6&gt; MAXSAL,(MAXSAL*O243),(F39*O243*yr7percent*(1+$K$15)^6))),(F39*O243*yr7percent*(1+$K$15)^6)),0),0)=0,"",ROUND(IF(totalyrs&gt;6,IF('Salary Detail'!$F$18="X",(IF(F39*(1+$K$15)^6&gt; MAXSAL,(MAXSAL*O243),(F39*O243*yr7percent*(1+$K$15)^6))),(F39*O243*yr7percent*(1+$K$15)^6)),0),0)),"")</f>
        <v/>
      </c>
      <c r="L243" s="115" t="str">
        <f t="shared" si="48"/>
        <v/>
      </c>
      <c r="M243" s="266" t="str">
        <f t="shared" si="44"/>
        <v/>
      </c>
      <c r="N243" s="118" t="str">
        <f t="shared" si="45"/>
        <v/>
      </c>
      <c r="O243" s="185" t="str">
        <f t="shared" si="46"/>
        <v/>
      </c>
      <c r="P243" s="679"/>
      <c r="Q243" s="679"/>
      <c r="R243" s="674"/>
      <c r="S243" s="674"/>
      <c r="T243" s="674"/>
      <c r="U243" s="674"/>
      <c r="V243" s="674"/>
      <c r="W243" s="679"/>
      <c r="X243" s="679"/>
      <c r="Y243" s="674"/>
      <c r="Z243" s="674"/>
      <c r="AA243" s="674"/>
    </row>
    <row r="244" spans="1:27" x14ac:dyDescent="0.25">
      <c r="A244" s="114" t="str">
        <f t="shared" si="37"/>
        <v/>
      </c>
      <c r="B244" s="130" t="str">
        <f t="shared" si="38"/>
        <v/>
      </c>
      <c r="C244" s="130" t="str">
        <f>IFERROR(IF(ROUND(IF(totalyrs&gt;5,IF('Salary Detail'!$F$18="X",(IF(F40*(1+$K$15)^5&gt; MAXSAL,(MAXSAL*G244),(F40*G244*yr6percent*(1+$K$15)^5))),(F40*G244*yr6percent*(1+$K$15)^5)),0),0)=0,"",ROUND(IF(totalyrs&gt;5,IF('Salary Detail'!$F$18="X",(IF(F40*(1+$K$15)^5&gt; MAXSAL,(MAXSAL*G244),(F40*G244*yr6percent*(1+$K$15)^5))),(F40*G244*yr6percent*(1+$K$15)^5)),0),0)),"")</f>
        <v/>
      </c>
      <c r="D244" s="115" t="str">
        <f t="shared" si="47"/>
        <v/>
      </c>
      <c r="E244" s="266" t="str">
        <f t="shared" si="39"/>
        <v/>
      </c>
      <c r="F244" s="116" t="str">
        <f t="shared" si="40"/>
        <v/>
      </c>
      <c r="G244" s="183" t="str">
        <f t="shared" si="41"/>
        <v/>
      </c>
      <c r="H244" s="910" t="str">
        <f t="shared" si="42"/>
        <v/>
      </c>
      <c r="I244" s="939"/>
      <c r="J244" s="271" t="str">
        <f t="shared" si="43"/>
        <v/>
      </c>
      <c r="K244" s="131" t="str">
        <f>IFERROR(IF(ROUND(IF(totalyrs&gt;6,IF('Salary Detail'!$F$18="X",(IF(F40*(1+$K$15)^6&gt; MAXSAL,(MAXSAL*O244),(F40*O244*yr7percent*(1+$K$15)^6))),(F40*O244*yr7percent*(1+$K$15)^6)),0),0)=0,"",ROUND(IF(totalyrs&gt;6,IF('Salary Detail'!$F$18="X",(IF(F40*(1+$K$15)^6&gt; MAXSAL,(MAXSAL*O244),(F40*O244*yr7percent*(1+$K$15)^6))),(F40*O244*yr7percent*(1+$K$15)^6)),0),0)),"")</f>
        <v/>
      </c>
      <c r="L244" s="115" t="str">
        <f t="shared" si="48"/>
        <v/>
      </c>
      <c r="M244" s="266" t="str">
        <f t="shared" si="44"/>
        <v/>
      </c>
      <c r="N244" s="118" t="str">
        <f t="shared" si="45"/>
        <v/>
      </c>
      <c r="O244" s="185" t="str">
        <f t="shared" si="46"/>
        <v/>
      </c>
      <c r="P244" s="679"/>
      <c r="Q244" s="679"/>
      <c r="R244" s="674"/>
      <c r="S244" s="674"/>
      <c r="T244" s="674"/>
      <c r="U244" s="674"/>
      <c r="V244" s="674"/>
      <c r="W244" s="679"/>
      <c r="X244" s="679"/>
      <c r="Y244" s="674"/>
      <c r="Z244" s="674"/>
      <c r="AA244" s="674"/>
    </row>
    <row r="245" spans="1:27" x14ac:dyDescent="0.25">
      <c r="A245" s="114" t="str">
        <f t="shared" si="37"/>
        <v/>
      </c>
      <c r="B245" s="130" t="str">
        <f t="shared" si="38"/>
        <v/>
      </c>
      <c r="C245" s="130" t="str">
        <f>IFERROR(IF(ROUND(IF(totalyrs&gt;5,IF('Salary Detail'!$F$18="X",(IF(F41*(1+$K$15)^5&gt; MAXSAL,(MAXSAL*G245),(F41*G245*yr6percent*(1+$K$15)^5))),(F41*G245*yr6percent*(1+$K$15)^5)),0),0)=0,"",ROUND(IF(totalyrs&gt;5,IF('Salary Detail'!$F$18="X",(IF(F41*(1+$K$15)^5&gt; MAXSAL,(MAXSAL*G245),(F41*G245*yr6percent*(1+$K$15)^5))),(F41*G245*yr6percent*(1+$K$15)^5)),0),0)),"")</f>
        <v/>
      </c>
      <c r="D245" s="115" t="str">
        <f t="shared" si="47"/>
        <v/>
      </c>
      <c r="E245" s="266" t="str">
        <f t="shared" si="39"/>
        <v/>
      </c>
      <c r="F245" s="116" t="str">
        <f t="shared" si="40"/>
        <v/>
      </c>
      <c r="G245" s="183" t="str">
        <f t="shared" si="41"/>
        <v/>
      </c>
      <c r="H245" s="910" t="str">
        <f t="shared" si="42"/>
        <v/>
      </c>
      <c r="I245" s="939"/>
      <c r="J245" s="271" t="str">
        <f t="shared" si="43"/>
        <v/>
      </c>
      <c r="K245" s="131" t="str">
        <f>IFERROR(IF(ROUND(IF(totalyrs&gt;6,IF('Salary Detail'!$F$18="X",(IF(F41*(1+$K$15)^6&gt; MAXSAL,(MAXSAL*O245),(F41*O245*yr7percent*(1+$K$15)^6))),(F41*O245*yr7percent*(1+$K$15)^6)),0),0)=0,"",ROUND(IF(totalyrs&gt;6,IF('Salary Detail'!$F$18="X",(IF(F41*(1+$K$15)^6&gt; MAXSAL,(MAXSAL*O245),(F41*O245*yr7percent*(1+$K$15)^6))),(F41*O245*yr7percent*(1+$K$15)^6)),0),0)),"")</f>
        <v/>
      </c>
      <c r="L245" s="115" t="str">
        <f t="shared" si="48"/>
        <v/>
      </c>
      <c r="M245" s="266" t="str">
        <f t="shared" si="44"/>
        <v/>
      </c>
      <c r="N245" s="118" t="str">
        <f t="shared" si="45"/>
        <v/>
      </c>
      <c r="O245" s="185" t="str">
        <f t="shared" si="46"/>
        <v/>
      </c>
      <c r="P245" s="679"/>
      <c r="Q245" s="679"/>
      <c r="R245" s="674"/>
      <c r="S245" s="674"/>
      <c r="T245" s="674"/>
      <c r="U245" s="674"/>
      <c r="V245" s="674"/>
      <c r="W245" s="679"/>
      <c r="X245" s="679"/>
      <c r="Y245" s="674"/>
      <c r="Z245" s="674"/>
      <c r="AA245" s="674"/>
    </row>
    <row r="246" spans="1:27" x14ac:dyDescent="0.25">
      <c r="A246" s="114" t="str">
        <f t="shared" si="37"/>
        <v/>
      </c>
      <c r="B246" s="130" t="str">
        <f t="shared" si="38"/>
        <v/>
      </c>
      <c r="C246" s="130" t="str">
        <f>IFERROR(IF(ROUND(IF(totalyrs&gt;5,IF('Salary Detail'!$F$18="X",(IF(F42*(1+$K$15)^5&gt; MAXSAL,(MAXSAL*G246),(F42*G246*yr6percent*(1+$K$15)^5))),(F42*G246*yr6percent*(1+$K$15)^5)),0),0)=0,"",ROUND(IF(totalyrs&gt;5,IF('Salary Detail'!$F$18="X",(IF(F42*(1+$K$15)^5&gt; MAXSAL,(MAXSAL*G246),(F42*G246*yr6percent*(1+$K$15)^5))),(F42*G246*yr6percent*(1+$K$15)^5)),0),0)),"")</f>
        <v/>
      </c>
      <c r="D246" s="115" t="str">
        <f t="shared" si="47"/>
        <v/>
      </c>
      <c r="E246" s="266" t="str">
        <f t="shared" si="39"/>
        <v/>
      </c>
      <c r="F246" s="116" t="str">
        <f t="shared" si="40"/>
        <v/>
      </c>
      <c r="G246" s="183" t="str">
        <f t="shared" si="41"/>
        <v/>
      </c>
      <c r="H246" s="910" t="str">
        <f t="shared" si="42"/>
        <v/>
      </c>
      <c r="I246" s="939"/>
      <c r="J246" s="271" t="str">
        <f t="shared" si="43"/>
        <v/>
      </c>
      <c r="K246" s="131" t="str">
        <f>IFERROR(IF(ROUND(IF(totalyrs&gt;6,IF('Salary Detail'!$F$18="X",(IF(F42*(1+$K$15)^6&gt; MAXSAL,(MAXSAL*O246),(F42*O246*yr7percent*(1+$K$15)^6))),(F42*O246*yr7percent*(1+$K$15)^6)),0),0)=0,"",ROUND(IF(totalyrs&gt;6,IF('Salary Detail'!$F$18="X",(IF(F42*(1+$K$15)^6&gt; MAXSAL,(MAXSAL*O246),(F42*O246*yr7percent*(1+$K$15)^6))),(F42*O246*yr7percent*(1+$K$15)^6)),0),0)),"")</f>
        <v/>
      </c>
      <c r="L246" s="115" t="str">
        <f t="shared" si="48"/>
        <v/>
      </c>
      <c r="M246" s="266" t="str">
        <f t="shared" si="44"/>
        <v/>
      </c>
      <c r="N246" s="118" t="str">
        <f t="shared" si="45"/>
        <v/>
      </c>
      <c r="O246" s="185" t="str">
        <f t="shared" si="46"/>
        <v/>
      </c>
      <c r="P246" s="679"/>
      <c r="Q246" s="679"/>
      <c r="R246" s="674"/>
      <c r="S246" s="674"/>
      <c r="T246" s="674"/>
      <c r="U246" s="674"/>
      <c r="V246" s="674"/>
      <c r="W246" s="679"/>
      <c r="X246" s="679"/>
      <c r="Y246" s="674"/>
      <c r="Z246" s="674"/>
      <c r="AA246" s="674"/>
    </row>
    <row r="247" spans="1:27" x14ac:dyDescent="0.25">
      <c r="A247" s="114" t="str">
        <f t="shared" si="37"/>
        <v/>
      </c>
      <c r="B247" s="130" t="str">
        <f t="shared" si="38"/>
        <v/>
      </c>
      <c r="C247" s="130" t="str">
        <f>IFERROR(IF(ROUND(IF(totalyrs&gt;5,IF('Salary Detail'!$F$18="X",(IF(F43*(1+$K$15)^5&gt; MAXSAL,(MAXSAL*G247),(F43*G247*yr6percent*(1+$K$15)^5))),(F43*G247*yr6percent*(1+$K$15)^5)),0),0)=0,"",ROUND(IF(totalyrs&gt;5,IF('Salary Detail'!$F$18="X",(IF(F43*(1+$K$15)^5&gt; MAXSAL,(MAXSAL*G247),(F43*G247*yr6percent*(1+$K$15)^5))),(F43*G247*yr6percent*(1+$K$15)^5)),0),0)),"")</f>
        <v/>
      </c>
      <c r="D247" s="115" t="str">
        <f t="shared" si="47"/>
        <v/>
      </c>
      <c r="E247" s="266" t="str">
        <f t="shared" si="39"/>
        <v/>
      </c>
      <c r="F247" s="116" t="str">
        <f t="shared" si="40"/>
        <v/>
      </c>
      <c r="G247" s="183" t="str">
        <f t="shared" si="41"/>
        <v/>
      </c>
      <c r="H247" s="910" t="str">
        <f t="shared" si="42"/>
        <v/>
      </c>
      <c r="I247" s="939"/>
      <c r="J247" s="271" t="str">
        <f t="shared" si="43"/>
        <v/>
      </c>
      <c r="K247" s="131" t="str">
        <f>IFERROR(IF(ROUND(IF(totalyrs&gt;6,IF('Salary Detail'!$F$18="X",(IF(F43*(1+$K$15)^6&gt; MAXSAL,(MAXSAL*O247),(F43*O247*yr7percent*(1+$K$15)^6))),(F43*O247*yr7percent*(1+$K$15)^6)),0),0)=0,"",ROUND(IF(totalyrs&gt;6,IF('Salary Detail'!$F$18="X",(IF(F43*(1+$K$15)^6&gt; MAXSAL,(MAXSAL*O247),(F43*O247*yr7percent*(1+$K$15)^6))),(F43*O247*yr7percent*(1+$K$15)^6)),0),0)),"")</f>
        <v/>
      </c>
      <c r="L247" s="115" t="str">
        <f t="shared" si="48"/>
        <v/>
      </c>
      <c r="M247" s="266" t="str">
        <f t="shared" si="44"/>
        <v/>
      </c>
      <c r="N247" s="118" t="str">
        <f t="shared" si="45"/>
        <v/>
      </c>
      <c r="O247" s="185" t="str">
        <f t="shared" si="46"/>
        <v/>
      </c>
      <c r="P247" s="679"/>
      <c r="Q247" s="679"/>
      <c r="R247" s="674"/>
      <c r="S247" s="674"/>
      <c r="T247" s="674"/>
      <c r="U247" s="674"/>
      <c r="V247" s="674"/>
      <c r="W247" s="679"/>
      <c r="X247" s="679"/>
      <c r="Y247" s="674"/>
      <c r="Z247" s="674"/>
      <c r="AA247" s="674"/>
    </row>
    <row r="248" spans="1:27" x14ac:dyDescent="0.25">
      <c r="A248" s="114" t="str">
        <f t="shared" si="37"/>
        <v/>
      </c>
      <c r="B248" s="130" t="str">
        <f t="shared" si="38"/>
        <v/>
      </c>
      <c r="C248" s="130" t="str">
        <f>IFERROR(IF(ROUND(IF(totalyrs&gt;5,IF('Salary Detail'!$F$18="X",(IF(F44*(1+$K$15)^5&gt; MAXSAL,(MAXSAL*G248),(F44*G248*yr6percent*(1+$K$15)^5))),(F44*G248*yr6percent*(1+$K$15)^5)),0),0)=0,"",ROUND(IF(totalyrs&gt;5,IF('Salary Detail'!$F$18="X",(IF(F44*(1+$K$15)^5&gt; MAXSAL,(MAXSAL*G248),(F44*G248*yr6percent*(1+$K$15)^5))),(F44*G248*yr6percent*(1+$K$15)^5)),0),0)),"")</f>
        <v/>
      </c>
      <c r="D248" s="115" t="str">
        <f t="shared" si="47"/>
        <v/>
      </c>
      <c r="E248" s="266" t="str">
        <f t="shared" si="39"/>
        <v/>
      </c>
      <c r="F248" s="116" t="str">
        <f t="shared" si="40"/>
        <v/>
      </c>
      <c r="G248" s="183" t="str">
        <f t="shared" si="41"/>
        <v/>
      </c>
      <c r="H248" s="910" t="str">
        <f t="shared" si="42"/>
        <v/>
      </c>
      <c r="I248" s="939"/>
      <c r="J248" s="271" t="str">
        <f t="shared" si="43"/>
        <v/>
      </c>
      <c r="K248" s="131" t="str">
        <f>IFERROR(IF(ROUND(IF(totalyrs&gt;6,IF('Salary Detail'!$F$18="X",(IF(F44*(1+$K$15)^6&gt; MAXSAL,(MAXSAL*O248),(F44*O248*yr7percent*(1+$K$15)^6))),(F44*O248*yr7percent*(1+$K$15)^6)),0),0)=0,"",ROUND(IF(totalyrs&gt;6,IF('Salary Detail'!$F$18="X",(IF(F44*(1+$K$15)^6&gt; MAXSAL,(MAXSAL*O248),(F44*O248*yr7percent*(1+$K$15)^6))),(F44*O248*yr7percent*(1+$K$15)^6)),0),0)),"")</f>
        <v/>
      </c>
      <c r="L248" s="115" t="str">
        <f t="shared" si="48"/>
        <v/>
      </c>
      <c r="M248" s="266" t="str">
        <f t="shared" si="44"/>
        <v/>
      </c>
      <c r="N248" s="118" t="str">
        <f t="shared" si="45"/>
        <v/>
      </c>
      <c r="O248" s="185" t="str">
        <f t="shared" si="46"/>
        <v/>
      </c>
      <c r="P248" s="679"/>
      <c r="Q248" s="679"/>
      <c r="R248" s="674"/>
      <c r="S248" s="674"/>
      <c r="T248" s="674"/>
      <c r="U248" s="674"/>
      <c r="V248" s="674"/>
      <c r="W248" s="679"/>
      <c r="X248" s="679"/>
      <c r="Y248" s="674"/>
      <c r="Z248" s="674"/>
      <c r="AA248" s="674"/>
    </row>
    <row r="249" spans="1:27" x14ac:dyDescent="0.25">
      <c r="A249" s="114" t="str">
        <f t="shared" si="37"/>
        <v/>
      </c>
      <c r="B249" s="130" t="str">
        <f t="shared" si="38"/>
        <v/>
      </c>
      <c r="C249" s="130" t="str">
        <f>IFERROR(IF(ROUND(IF(totalyrs&gt;5,IF('Salary Detail'!$F$18="X",(IF(F45*(1+$K$15)^5&gt; MAXSAL,(MAXSAL*G249),(F45*G249*yr6percent*(1+$K$15)^5))),(F45*G249*yr6percent*(1+$K$15)^5)),0),0)=0,"",ROUND(IF(totalyrs&gt;5,IF('Salary Detail'!$F$18="X",(IF(F45*(1+$K$15)^5&gt; MAXSAL,(MAXSAL*G249),(F45*G249*yr6percent*(1+$K$15)^5))),(F45*G249*yr6percent*(1+$K$15)^5)),0),0)),"")</f>
        <v/>
      </c>
      <c r="D249" s="115" t="str">
        <f t="shared" si="47"/>
        <v/>
      </c>
      <c r="E249" s="266" t="str">
        <f t="shared" si="39"/>
        <v/>
      </c>
      <c r="F249" s="116" t="str">
        <f t="shared" si="40"/>
        <v/>
      </c>
      <c r="G249" s="183" t="str">
        <f t="shared" si="41"/>
        <v/>
      </c>
      <c r="H249" s="910" t="str">
        <f t="shared" si="42"/>
        <v/>
      </c>
      <c r="I249" s="939"/>
      <c r="J249" s="271" t="str">
        <f t="shared" si="43"/>
        <v/>
      </c>
      <c r="K249" s="131" t="str">
        <f>IFERROR(IF(ROUND(IF(totalyrs&gt;6,IF('Salary Detail'!$F$18="X",(IF(F45*(1+$K$15)^6&gt; MAXSAL,(MAXSAL*O249),(F45*O249*yr7percent*(1+$K$15)^6))),(F45*O249*yr7percent*(1+$K$15)^6)),0),0)=0,"",ROUND(IF(totalyrs&gt;6,IF('Salary Detail'!$F$18="X",(IF(F45*(1+$K$15)^6&gt; MAXSAL,(MAXSAL*O249),(F45*O249*yr7percent*(1+$K$15)^6))),(F45*O249*yr7percent*(1+$K$15)^6)),0),0)),"")</f>
        <v/>
      </c>
      <c r="L249" s="115" t="str">
        <f t="shared" si="48"/>
        <v/>
      </c>
      <c r="M249" s="266" t="str">
        <f t="shared" si="44"/>
        <v/>
      </c>
      <c r="N249" s="118" t="str">
        <f t="shared" si="45"/>
        <v/>
      </c>
      <c r="O249" s="185" t="str">
        <f t="shared" si="46"/>
        <v/>
      </c>
      <c r="P249" s="679"/>
      <c r="Q249" s="679"/>
      <c r="R249" s="674"/>
      <c r="S249" s="674"/>
      <c r="T249" s="674"/>
      <c r="U249" s="674"/>
      <c r="V249" s="674"/>
      <c r="W249" s="679"/>
      <c r="X249" s="679"/>
      <c r="Y249" s="674"/>
      <c r="Z249" s="674"/>
      <c r="AA249" s="674"/>
    </row>
    <row r="250" spans="1:27" x14ac:dyDescent="0.25">
      <c r="A250" s="114" t="str">
        <f t="shared" si="37"/>
        <v/>
      </c>
      <c r="B250" s="130" t="str">
        <f t="shared" si="38"/>
        <v/>
      </c>
      <c r="C250" s="130" t="str">
        <f>IFERROR(IF(ROUND(IF(totalyrs&gt;5,IF('Salary Detail'!$F$18="X",(IF(F46*(1+$K$15)^5&gt; MAXSAL,(MAXSAL*G250),(F46*G250*yr6percent*(1+$K$15)^5))),(F46*G250*yr6percent*(1+$K$15)^5)),0),0)=0,"",ROUND(IF(totalyrs&gt;5,IF('Salary Detail'!$F$18="X",(IF(F46*(1+$K$15)^5&gt; MAXSAL,(MAXSAL*G250),(F46*G250*yr6percent*(1+$K$15)^5))),(F46*G250*yr6percent*(1+$K$15)^5)),0),0)),"")</f>
        <v/>
      </c>
      <c r="D250" s="115" t="str">
        <f t="shared" si="47"/>
        <v/>
      </c>
      <c r="E250" s="266" t="str">
        <f t="shared" si="39"/>
        <v/>
      </c>
      <c r="F250" s="116" t="str">
        <f t="shared" si="40"/>
        <v/>
      </c>
      <c r="G250" s="183" t="str">
        <f t="shared" si="41"/>
        <v/>
      </c>
      <c r="H250" s="910" t="str">
        <f t="shared" si="42"/>
        <v/>
      </c>
      <c r="I250" s="939"/>
      <c r="J250" s="271" t="str">
        <f t="shared" si="43"/>
        <v/>
      </c>
      <c r="K250" s="131" t="str">
        <f>IFERROR(IF(ROUND(IF(totalyrs&gt;6,IF('Salary Detail'!$F$18="X",(IF(F46*(1+$K$15)^6&gt; MAXSAL,(MAXSAL*O250),(F46*O250*yr7percent*(1+$K$15)^6))),(F46*O250*yr7percent*(1+$K$15)^6)),0),0)=0,"",ROUND(IF(totalyrs&gt;6,IF('Salary Detail'!$F$18="X",(IF(F46*(1+$K$15)^6&gt; MAXSAL,(MAXSAL*O250),(F46*O250*yr7percent*(1+$K$15)^6))),(F46*O250*yr7percent*(1+$K$15)^6)),0),0)),"")</f>
        <v/>
      </c>
      <c r="L250" s="115" t="str">
        <f t="shared" si="48"/>
        <v/>
      </c>
      <c r="M250" s="266" t="str">
        <f t="shared" si="44"/>
        <v/>
      </c>
      <c r="N250" s="118" t="str">
        <f t="shared" si="45"/>
        <v/>
      </c>
      <c r="O250" s="185" t="str">
        <f t="shared" si="46"/>
        <v/>
      </c>
      <c r="P250" s="679"/>
      <c r="Q250" s="679"/>
      <c r="R250" s="674"/>
      <c r="S250" s="674"/>
      <c r="T250" s="674"/>
      <c r="U250" s="674"/>
      <c r="V250" s="674"/>
      <c r="W250" s="679"/>
      <c r="X250" s="679"/>
      <c r="Y250" s="674"/>
      <c r="Z250" s="674"/>
      <c r="AA250" s="674"/>
    </row>
    <row r="251" spans="1:27" x14ac:dyDescent="0.25">
      <c r="A251" s="114" t="str">
        <f t="shared" si="37"/>
        <v/>
      </c>
      <c r="B251" s="130" t="str">
        <f t="shared" si="38"/>
        <v/>
      </c>
      <c r="C251" s="130" t="str">
        <f>IFERROR(IF(ROUND(IF(totalyrs&gt;5,IF('Salary Detail'!$F$18="X",(IF(F47*(1+$K$15)^5&gt; MAXSAL,(MAXSAL*G251),(F47*G251*yr6percent*(1+$K$15)^5))),(F47*G251*yr6percent*(1+$K$15)^5)),0),0)=0,"",ROUND(IF(totalyrs&gt;5,IF('Salary Detail'!$F$18="X",(IF(F47*(1+$K$15)^5&gt; MAXSAL,(MAXSAL*G251),(F47*G251*yr6percent*(1+$K$15)^5))),(F47*G251*yr6percent*(1+$K$15)^5)),0),0)),"")</f>
        <v/>
      </c>
      <c r="D251" s="115" t="str">
        <f t="shared" si="47"/>
        <v/>
      </c>
      <c r="E251" s="266" t="str">
        <f t="shared" si="39"/>
        <v/>
      </c>
      <c r="F251" s="116" t="str">
        <f t="shared" si="40"/>
        <v/>
      </c>
      <c r="G251" s="183" t="str">
        <f t="shared" si="41"/>
        <v/>
      </c>
      <c r="H251" s="910" t="str">
        <f t="shared" si="42"/>
        <v/>
      </c>
      <c r="I251" s="939"/>
      <c r="J251" s="271" t="str">
        <f t="shared" si="43"/>
        <v/>
      </c>
      <c r="K251" s="131" t="str">
        <f>IFERROR(IF(ROUND(IF(totalyrs&gt;6,IF('Salary Detail'!$F$18="X",(IF(F47*(1+$K$15)^6&gt; MAXSAL,(MAXSAL*O251),(F47*O251*yr7percent*(1+$K$15)^6))),(F47*O251*yr7percent*(1+$K$15)^6)),0),0)=0,"",ROUND(IF(totalyrs&gt;6,IF('Salary Detail'!$F$18="X",(IF(F47*(1+$K$15)^6&gt; MAXSAL,(MAXSAL*O251),(F47*O251*yr7percent*(1+$K$15)^6))),(F47*O251*yr7percent*(1+$K$15)^6)),0),0)),"")</f>
        <v/>
      </c>
      <c r="L251" s="115" t="str">
        <f t="shared" si="48"/>
        <v/>
      </c>
      <c r="M251" s="266" t="str">
        <f t="shared" si="44"/>
        <v/>
      </c>
      <c r="N251" s="118" t="str">
        <f t="shared" si="45"/>
        <v/>
      </c>
      <c r="O251" s="185" t="str">
        <f t="shared" si="46"/>
        <v/>
      </c>
      <c r="P251" s="679"/>
      <c r="Q251" s="679"/>
      <c r="R251" s="674"/>
      <c r="S251" s="674"/>
      <c r="T251" s="674"/>
      <c r="U251" s="674"/>
      <c r="V251" s="674"/>
      <c r="W251" s="679"/>
      <c r="X251" s="679"/>
      <c r="Y251" s="674"/>
      <c r="Z251" s="674"/>
      <c r="AA251" s="674"/>
    </row>
    <row r="252" spans="1:27" x14ac:dyDescent="0.25">
      <c r="A252" s="114" t="str">
        <f t="shared" si="37"/>
        <v/>
      </c>
      <c r="B252" s="130" t="str">
        <f t="shared" si="38"/>
        <v/>
      </c>
      <c r="C252" s="130" t="str">
        <f>IFERROR(IF(ROUND(IF(totalyrs&gt;5,IF('Salary Detail'!$F$18="X",(IF(F48*(1+$K$15)^5&gt; MAXSAL,(MAXSAL*G252),(F48*G252*yr6percent*(1+$K$15)^5))),(F48*G252*yr6percent*(1+$K$15)^5)),0),0)=0,"",ROUND(IF(totalyrs&gt;5,IF('Salary Detail'!$F$18="X",(IF(F48*(1+$K$15)^5&gt; MAXSAL,(MAXSAL*G252),(F48*G252*yr6percent*(1+$K$15)^5))),(F48*G252*yr6percent*(1+$K$15)^5)),0),0)),"")</f>
        <v/>
      </c>
      <c r="D252" s="115" t="str">
        <f t="shared" si="47"/>
        <v/>
      </c>
      <c r="E252" s="266" t="str">
        <f t="shared" si="39"/>
        <v/>
      </c>
      <c r="F252" s="116" t="str">
        <f t="shared" si="40"/>
        <v/>
      </c>
      <c r="G252" s="183" t="str">
        <f t="shared" si="41"/>
        <v/>
      </c>
      <c r="H252" s="910" t="str">
        <f t="shared" si="42"/>
        <v/>
      </c>
      <c r="I252" s="939"/>
      <c r="J252" s="271" t="str">
        <f t="shared" si="43"/>
        <v/>
      </c>
      <c r="K252" s="131" t="str">
        <f>IFERROR(IF(ROUND(IF(totalyrs&gt;6,IF('Salary Detail'!$F$18="X",(IF(F48*(1+$K$15)^6&gt; MAXSAL,(MAXSAL*O252),(F48*O252*yr7percent*(1+$K$15)^6))),(F48*O252*yr7percent*(1+$K$15)^6)),0),0)=0,"",ROUND(IF(totalyrs&gt;6,IF('Salary Detail'!$F$18="X",(IF(F48*(1+$K$15)^6&gt; MAXSAL,(MAXSAL*O252),(F48*O252*yr7percent*(1+$K$15)^6))),(F48*O252*yr7percent*(1+$K$15)^6)),0),0)),"")</f>
        <v/>
      </c>
      <c r="L252" s="115" t="str">
        <f t="shared" si="48"/>
        <v/>
      </c>
      <c r="M252" s="266" t="str">
        <f t="shared" si="44"/>
        <v/>
      </c>
      <c r="N252" s="118" t="str">
        <f t="shared" si="45"/>
        <v/>
      </c>
      <c r="O252" s="185" t="str">
        <f t="shared" si="46"/>
        <v/>
      </c>
      <c r="P252" s="679"/>
      <c r="Q252" s="679"/>
      <c r="R252" s="674"/>
      <c r="S252" s="674"/>
      <c r="T252" s="674"/>
      <c r="U252" s="674"/>
      <c r="V252" s="674"/>
      <c r="W252" s="679"/>
      <c r="X252" s="679"/>
      <c r="Y252" s="674"/>
      <c r="Z252" s="674"/>
      <c r="AA252" s="674"/>
    </row>
    <row r="253" spans="1:27" x14ac:dyDescent="0.25">
      <c r="A253" s="114" t="str">
        <f t="shared" si="37"/>
        <v/>
      </c>
      <c r="B253" s="130" t="str">
        <f t="shared" si="38"/>
        <v/>
      </c>
      <c r="C253" s="130" t="str">
        <f>IFERROR(IF(ROUND(IF(totalyrs&gt;5,IF('Salary Detail'!$F$18="X",(IF(F49*(1+$K$15)^5&gt; MAXSAL,(MAXSAL*G253),(F49*G253*yr6percent*(1+$K$15)^5))),(F49*G253*yr6percent*(1+$K$15)^5)),0),0)=0,"",ROUND(IF(totalyrs&gt;5,IF('Salary Detail'!$F$18="X",(IF(F49*(1+$K$15)^5&gt; MAXSAL,(MAXSAL*G253),(F49*G253*yr6percent*(1+$K$15)^5))),(F49*G253*yr6percent*(1+$K$15)^5)),0),0)),"")</f>
        <v/>
      </c>
      <c r="D253" s="115" t="str">
        <f t="shared" si="47"/>
        <v/>
      </c>
      <c r="E253" s="266" t="str">
        <f t="shared" si="39"/>
        <v/>
      </c>
      <c r="F253" s="116" t="str">
        <f t="shared" si="40"/>
        <v/>
      </c>
      <c r="G253" s="183" t="str">
        <f t="shared" si="41"/>
        <v/>
      </c>
      <c r="H253" s="910" t="str">
        <f t="shared" si="42"/>
        <v/>
      </c>
      <c r="I253" s="939"/>
      <c r="J253" s="271" t="str">
        <f t="shared" si="43"/>
        <v/>
      </c>
      <c r="K253" s="131" t="str">
        <f>IFERROR(IF(ROUND(IF(totalyrs&gt;6,IF('Salary Detail'!$F$18="X",(IF(F49*(1+$K$15)^6&gt; MAXSAL,(MAXSAL*O253),(F49*O253*yr7percent*(1+$K$15)^6))),(F49*O253*yr7percent*(1+$K$15)^6)),0),0)=0,"",ROUND(IF(totalyrs&gt;6,IF('Salary Detail'!$F$18="X",(IF(F49*(1+$K$15)^6&gt; MAXSAL,(MAXSAL*O253),(F49*O253*yr7percent*(1+$K$15)^6))),(F49*O253*yr7percent*(1+$K$15)^6)),0),0)),"")</f>
        <v/>
      </c>
      <c r="L253" s="115" t="str">
        <f t="shared" si="48"/>
        <v/>
      </c>
      <c r="M253" s="266" t="str">
        <f t="shared" si="44"/>
        <v/>
      </c>
      <c r="N253" s="118" t="str">
        <f t="shared" si="45"/>
        <v/>
      </c>
      <c r="O253" s="185" t="str">
        <f t="shared" si="46"/>
        <v/>
      </c>
      <c r="P253" s="679"/>
      <c r="Q253" s="679"/>
      <c r="R253" s="674"/>
      <c r="S253" s="674"/>
      <c r="T253" s="674"/>
      <c r="U253" s="674"/>
      <c r="V253" s="674"/>
      <c r="W253" s="679"/>
      <c r="X253" s="679"/>
      <c r="Y253" s="674"/>
      <c r="Z253" s="674"/>
      <c r="AA253" s="674"/>
    </row>
    <row r="254" spans="1:27" x14ac:dyDescent="0.25">
      <c r="A254" s="114" t="str">
        <f t="shared" si="37"/>
        <v/>
      </c>
      <c r="B254" s="130" t="str">
        <f t="shared" si="38"/>
        <v/>
      </c>
      <c r="C254" s="130" t="str">
        <f>IFERROR(IF(ROUND(IF(totalyrs&gt;5,IF('Salary Detail'!$F$18="X",(IF(F50*(1+$K$15)^5&gt; MAXSAL,(MAXSAL*G254),(F50*G254*yr6percent*(1+$K$15)^5))),(F50*G254*yr6percent*(1+$K$15)^5)),0),0)=0,"",ROUND(IF(totalyrs&gt;5,IF('Salary Detail'!$F$18="X",(IF(F50*(1+$K$15)^5&gt; MAXSAL,(MAXSAL*G254),(F50*G254*yr6percent*(1+$K$15)^5))),(F50*G254*yr6percent*(1+$K$15)^5)),0),0)),"")</f>
        <v/>
      </c>
      <c r="D254" s="115" t="str">
        <f t="shared" si="47"/>
        <v/>
      </c>
      <c r="E254" s="266" t="str">
        <f t="shared" si="39"/>
        <v/>
      </c>
      <c r="F254" s="116" t="str">
        <f t="shared" si="40"/>
        <v/>
      </c>
      <c r="G254" s="183" t="str">
        <f t="shared" si="41"/>
        <v/>
      </c>
      <c r="H254" s="910" t="str">
        <f t="shared" si="42"/>
        <v/>
      </c>
      <c r="I254" s="939"/>
      <c r="J254" s="271" t="str">
        <f t="shared" si="43"/>
        <v/>
      </c>
      <c r="K254" s="131" t="str">
        <f>IFERROR(IF(ROUND(IF(totalyrs&gt;6,IF('Salary Detail'!$F$18="X",(IF(F50*(1+$K$15)^6&gt; MAXSAL,(MAXSAL*O254),(F50*O254*yr7percent*(1+$K$15)^6))),(F50*O254*yr7percent*(1+$K$15)^6)),0),0)=0,"",ROUND(IF(totalyrs&gt;6,IF('Salary Detail'!$F$18="X",(IF(F50*(1+$K$15)^6&gt; MAXSAL,(MAXSAL*O254),(F50*O254*yr7percent*(1+$K$15)^6))),(F50*O254*yr7percent*(1+$K$15)^6)),0),0)),"")</f>
        <v/>
      </c>
      <c r="L254" s="115" t="str">
        <f t="shared" si="48"/>
        <v/>
      </c>
      <c r="M254" s="266" t="str">
        <f t="shared" si="44"/>
        <v/>
      </c>
      <c r="N254" s="118" t="str">
        <f t="shared" si="45"/>
        <v/>
      </c>
      <c r="O254" s="185" t="str">
        <f t="shared" si="46"/>
        <v/>
      </c>
      <c r="P254" s="679"/>
      <c r="Q254" s="679"/>
      <c r="R254" s="674"/>
      <c r="S254" s="674"/>
      <c r="T254" s="674"/>
      <c r="U254" s="674"/>
      <c r="V254" s="674"/>
      <c r="W254" s="679"/>
      <c r="X254" s="679"/>
      <c r="Y254" s="674"/>
      <c r="Z254" s="674"/>
      <c r="AA254" s="674"/>
    </row>
    <row r="255" spans="1:27" x14ac:dyDescent="0.25">
      <c r="A255" s="114" t="str">
        <f t="shared" si="37"/>
        <v/>
      </c>
      <c r="B255" s="130" t="str">
        <f t="shared" si="38"/>
        <v/>
      </c>
      <c r="C255" s="130" t="str">
        <f>IFERROR(IF(ROUND(IF(totalyrs&gt;5,IF('Salary Detail'!$F$18="X",(IF(F51*(1+$K$15)^5&gt; MAXSAL,(MAXSAL*G255),(F51*G255*yr6percent*(1+$K$15)^5))),(F51*G255*yr6percent*(1+$K$15)^5)),0),0)=0,"",ROUND(IF(totalyrs&gt;5,IF('Salary Detail'!$F$18="X",(IF(F51*(1+$K$15)^5&gt; MAXSAL,(MAXSAL*G255),(F51*G255*yr6percent*(1+$K$15)^5))),(F51*G255*yr6percent*(1+$K$15)^5)),0),0)),"")</f>
        <v/>
      </c>
      <c r="D255" s="115" t="str">
        <f t="shared" si="47"/>
        <v/>
      </c>
      <c r="E255" s="266" t="str">
        <f t="shared" si="39"/>
        <v/>
      </c>
      <c r="F255" s="116" t="str">
        <f t="shared" si="40"/>
        <v/>
      </c>
      <c r="G255" s="183" t="str">
        <f t="shared" si="41"/>
        <v/>
      </c>
      <c r="H255" s="910" t="str">
        <f t="shared" si="42"/>
        <v/>
      </c>
      <c r="I255" s="939"/>
      <c r="J255" s="271" t="str">
        <f t="shared" si="43"/>
        <v/>
      </c>
      <c r="K255" s="131" t="str">
        <f>IFERROR(IF(ROUND(IF(totalyrs&gt;6,IF('Salary Detail'!$F$18="X",(IF(F51*(1+$K$15)^6&gt; MAXSAL,(MAXSAL*O255),(F51*O255*yr7percent*(1+$K$15)^6))),(F51*O255*yr7percent*(1+$K$15)^6)),0),0)=0,"",ROUND(IF(totalyrs&gt;6,IF('Salary Detail'!$F$18="X",(IF(F51*(1+$K$15)^6&gt; MAXSAL,(MAXSAL*O255),(F51*O255*yr7percent*(1+$K$15)^6))),(F51*O255*yr7percent*(1+$K$15)^6)),0),0)),"")</f>
        <v/>
      </c>
      <c r="L255" s="115" t="str">
        <f t="shared" si="48"/>
        <v/>
      </c>
      <c r="M255" s="266" t="str">
        <f t="shared" si="44"/>
        <v/>
      </c>
      <c r="N255" s="118" t="str">
        <f t="shared" si="45"/>
        <v/>
      </c>
      <c r="O255" s="185" t="str">
        <f t="shared" si="46"/>
        <v/>
      </c>
      <c r="P255" s="679"/>
      <c r="Q255" s="679"/>
      <c r="R255" s="674"/>
      <c r="S255" s="674"/>
      <c r="T255" s="674"/>
      <c r="U255" s="674"/>
      <c r="V255" s="674"/>
      <c r="W255" s="679"/>
      <c r="X255" s="679"/>
      <c r="Y255" s="674"/>
      <c r="Z255" s="674"/>
      <c r="AA255" s="674"/>
    </row>
    <row r="256" spans="1:27" x14ac:dyDescent="0.25">
      <c r="A256" s="114" t="str">
        <f t="shared" si="37"/>
        <v/>
      </c>
      <c r="B256" s="130" t="str">
        <f t="shared" si="38"/>
        <v/>
      </c>
      <c r="C256" s="130" t="str">
        <f>IFERROR(IF(ROUND(IF(totalyrs&gt;5,IF('Salary Detail'!$F$18="X",(IF(F52*(1+$K$15)^5&gt; MAXSAL,(MAXSAL*G256),(F52*G256*yr6percent*(1+$K$15)^5))),(F52*G256*yr6percent*(1+$K$15)^5)),0),0)=0,"",ROUND(IF(totalyrs&gt;5,IF('Salary Detail'!$F$18="X",(IF(F52*(1+$K$15)^5&gt; MAXSAL,(MAXSAL*G256),(F52*G256*yr6percent*(1+$K$15)^5))),(F52*G256*yr6percent*(1+$K$15)^5)),0),0)),"")</f>
        <v/>
      </c>
      <c r="D256" s="115" t="str">
        <f t="shared" si="47"/>
        <v/>
      </c>
      <c r="E256" s="266" t="str">
        <f t="shared" si="39"/>
        <v/>
      </c>
      <c r="F256" s="116" t="str">
        <f t="shared" si="40"/>
        <v/>
      </c>
      <c r="G256" s="183" t="str">
        <f t="shared" si="41"/>
        <v/>
      </c>
      <c r="H256" s="910" t="str">
        <f t="shared" si="42"/>
        <v/>
      </c>
      <c r="I256" s="939"/>
      <c r="J256" s="271" t="str">
        <f t="shared" si="43"/>
        <v/>
      </c>
      <c r="K256" s="131" t="str">
        <f>IFERROR(IF(ROUND(IF(totalyrs&gt;6,IF('Salary Detail'!$F$18="X",(IF(F52*(1+$K$15)^6&gt; MAXSAL,(MAXSAL*O256),(F52*O256*yr7percent*(1+$K$15)^6))),(F52*O256*yr7percent*(1+$K$15)^6)),0),0)=0,"",ROUND(IF(totalyrs&gt;6,IF('Salary Detail'!$F$18="X",(IF(F52*(1+$K$15)^6&gt; MAXSAL,(MAXSAL*O256),(F52*O256*yr7percent*(1+$K$15)^6))),(F52*O256*yr7percent*(1+$K$15)^6)),0),0)),"")</f>
        <v/>
      </c>
      <c r="L256" s="115" t="str">
        <f t="shared" si="48"/>
        <v/>
      </c>
      <c r="M256" s="266" t="str">
        <f t="shared" si="44"/>
        <v/>
      </c>
      <c r="N256" s="118" t="str">
        <f t="shared" si="45"/>
        <v/>
      </c>
      <c r="O256" s="185" t="str">
        <f t="shared" si="46"/>
        <v/>
      </c>
      <c r="P256" s="679"/>
      <c r="Q256" s="679"/>
      <c r="R256" s="674"/>
      <c r="S256" s="674"/>
      <c r="T256" s="674"/>
      <c r="U256" s="674"/>
      <c r="V256" s="674"/>
      <c r="W256" s="679"/>
      <c r="X256" s="679"/>
      <c r="Y256" s="674"/>
      <c r="Z256" s="674"/>
      <c r="AA256" s="674"/>
    </row>
    <row r="257" spans="1:27" x14ac:dyDescent="0.25">
      <c r="A257" s="114" t="str">
        <f t="shared" si="37"/>
        <v/>
      </c>
      <c r="B257" s="130" t="str">
        <f t="shared" si="38"/>
        <v/>
      </c>
      <c r="C257" s="130" t="str">
        <f>IFERROR(IF(ROUND(IF(totalyrs&gt;5,IF('Salary Detail'!$F$18="X",(IF(F53*(1+$K$15)^5&gt; MAXSAL,(MAXSAL*G257),(F53*G257*yr6percent*(1+$K$15)^5))),(F53*G257*yr6percent*(1+$K$15)^5)),0),0)=0,"",ROUND(IF(totalyrs&gt;5,IF('Salary Detail'!$F$18="X",(IF(F53*(1+$K$15)^5&gt; MAXSAL,(MAXSAL*G257),(F53*G257*yr6percent*(1+$K$15)^5))),(F53*G257*yr6percent*(1+$K$15)^5)),0),0)),"")</f>
        <v/>
      </c>
      <c r="D257" s="115" t="str">
        <f t="shared" si="47"/>
        <v/>
      </c>
      <c r="E257" s="266" t="str">
        <f t="shared" si="39"/>
        <v/>
      </c>
      <c r="F257" s="116" t="str">
        <f t="shared" si="40"/>
        <v/>
      </c>
      <c r="G257" s="183" t="str">
        <f t="shared" si="41"/>
        <v/>
      </c>
      <c r="H257" s="910" t="str">
        <f t="shared" si="42"/>
        <v/>
      </c>
      <c r="I257" s="939"/>
      <c r="J257" s="271" t="str">
        <f t="shared" si="43"/>
        <v/>
      </c>
      <c r="K257" s="131" t="str">
        <f>IFERROR(IF(ROUND(IF(totalyrs&gt;6,IF('Salary Detail'!$F$18="X",(IF(F53*(1+$K$15)^6&gt; MAXSAL,(MAXSAL*O257),(F53*O257*yr7percent*(1+$K$15)^6))),(F53*O257*yr7percent*(1+$K$15)^6)),0),0)=0,"",ROUND(IF(totalyrs&gt;6,IF('Salary Detail'!$F$18="X",(IF(F53*(1+$K$15)^6&gt; MAXSAL,(MAXSAL*O257),(F53*O257*yr7percent*(1+$K$15)^6))),(F53*O257*yr7percent*(1+$K$15)^6)),0),0)),"")</f>
        <v/>
      </c>
      <c r="L257" s="115" t="str">
        <f t="shared" si="48"/>
        <v/>
      </c>
      <c r="M257" s="266" t="str">
        <f t="shared" si="44"/>
        <v/>
      </c>
      <c r="N257" s="118" t="str">
        <f t="shared" si="45"/>
        <v/>
      </c>
      <c r="O257" s="185" t="str">
        <f t="shared" si="46"/>
        <v/>
      </c>
      <c r="P257" s="679"/>
      <c r="Q257" s="679"/>
      <c r="R257" s="674"/>
      <c r="S257" s="674"/>
      <c r="T257" s="674"/>
      <c r="U257" s="674"/>
      <c r="V257" s="674"/>
      <c r="W257" s="679"/>
      <c r="X257" s="679"/>
      <c r="Y257" s="674"/>
      <c r="Z257" s="674"/>
      <c r="AA257" s="674"/>
    </row>
    <row r="258" spans="1:27" x14ac:dyDescent="0.25">
      <c r="A258" s="114" t="str">
        <f t="shared" si="37"/>
        <v/>
      </c>
      <c r="B258" s="130" t="str">
        <f t="shared" si="38"/>
        <v/>
      </c>
      <c r="C258" s="130" t="str">
        <f>IFERROR(IF(ROUND(IF(totalyrs&gt;5,IF('Salary Detail'!$F$18="X",(IF(F54*(1+$K$15)^5&gt; MAXSAL,(MAXSAL*G258),(F54*G258*yr6percent*(1+$K$15)^5))),(F54*G258*yr6percent*(1+$K$15)^5)),0),0)=0,"",ROUND(IF(totalyrs&gt;5,IF('Salary Detail'!$F$18="X",(IF(F54*(1+$K$15)^5&gt; MAXSAL,(MAXSAL*G258),(F54*G258*yr6percent*(1+$K$15)^5))),(F54*G258*yr6percent*(1+$K$15)^5)),0),0)),"")</f>
        <v/>
      </c>
      <c r="D258" s="115" t="str">
        <f t="shared" si="47"/>
        <v/>
      </c>
      <c r="E258" s="266" t="str">
        <f t="shared" si="39"/>
        <v/>
      </c>
      <c r="F258" s="116" t="str">
        <f t="shared" si="40"/>
        <v/>
      </c>
      <c r="G258" s="183" t="str">
        <f t="shared" si="41"/>
        <v/>
      </c>
      <c r="H258" s="910" t="str">
        <f t="shared" si="42"/>
        <v/>
      </c>
      <c r="I258" s="939"/>
      <c r="J258" s="271" t="str">
        <f t="shared" si="43"/>
        <v/>
      </c>
      <c r="K258" s="131" t="str">
        <f>IFERROR(IF(ROUND(IF(totalyrs&gt;6,IF('Salary Detail'!$F$18="X",(IF(F54*(1+$K$15)^6&gt; MAXSAL,(MAXSAL*O258),(F54*O258*yr7percent*(1+$K$15)^6))),(F54*O258*yr7percent*(1+$K$15)^6)),0),0)=0,"",ROUND(IF(totalyrs&gt;6,IF('Salary Detail'!$F$18="X",(IF(F54*(1+$K$15)^6&gt; MAXSAL,(MAXSAL*O258),(F54*O258*yr7percent*(1+$K$15)^6))),(F54*O258*yr7percent*(1+$K$15)^6)),0),0)),"")</f>
        <v/>
      </c>
      <c r="L258" s="115" t="str">
        <f t="shared" si="48"/>
        <v/>
      </c>
      <c r="M258" s="266" t="str">
        <f t="shared" si="44"/>
        <v/>
      </c>
      <c r="N258" s="118" t="str">
        <f t="shared" si="45"/>
        <v/>
      </c>
      <c r="O258" s="185" t="str">
        <f t="shared" si="46"/>
        <v/>
      </c>
      <c r="P258" s="679"/>
      <c r="Q258" s="679"/>
      <c r="R258" s="674"/>
      <c r="S258" s="674"/>
      <c r="T258" s="674"/>
      <c r="U258" s="674"/>
      <c r="V258" s="674"/>
      <c r="W258" s="679"/>
      <c r="X258" s="679"/>
      <c r="Y258" s="674"/>
      <c r="Z258" s="674"/>
      <c r="AA258" s="674"/>
    </row>
    <row r="259" spans="1:27" x14ac:dyDescent="0.25">
      <c r="A259" s="114" t="str">
        <f t="shared" si="37"/>
        <v/>
      </c>
      <c r="B259" s="130" t="str">
        <f t="shared" si="38"/>
        <v/>
      </c>
      <c r="C259" s="130" t="str">
        <f>IFERROR(IF(ROUND(IF(totalyrs&gt;5,IF('Salary Detail'!$F$18="X",(IF(F55*(1+$K$15)^5&gt; MAXSAL,(MAXSAL*G259),(F55*G259*yr6percent*(1+$K$15)^5))),(F55*G259*yr6percent*(1+$K$15)^5)),0),0)=0,"",ROUND(IF(totalyrs&gt;5,IF('Salary Detail'!$F$18="X",(IF(F55*(1+$K$15)^5&gt; MAXSAL,(MAXSAL*G259),(F55*G259*yr6percent*(1+$K$15)^5))),(F55*G259*yr6percent*(1+$K$15)^5)),0),0)),"")</f>
        <v/>
      </c>
      <c r="D259" s="115" t="str">
        <f t="shared" si="47"/>
        <v/>
      </c>
      <c r="E259" s="266" t="str">
        <f t="shared" si="39"/>
        <v/>
      </c>
      <c r="F259" s="116" t="str">
        <f t="shared" si="40"/>
        <v/>
      </c>
      <c r="G259" s="183" t="str">
        <f t="shared" si="41"/>
        <v/>
      </c>
      <c r="H259" s="910" t="str">
        <f t="shared" si="42"/>
        <v/>
      </c>
      <c r="I259" s="939"/>
      <c r="J259" s="271" t="str">
        <f t="shared" si="43"/>
        <v/>
      </c>
      <c r="K259" s="131" t="str">
        <f>IFERROR(IF(ROUND(IF(totalyrs&gt;6,IF('Salary Detail'!$F$18="X",(IF(F55*(1+$K$15)^6&gt; MAXSAL,(MAXSAL*O259),(F55*O259*yr7percent*(1+$K$15)^6))),(F55*O259*yr7percent*(1+$K$15)^6)),0),0)=0,"",ROUND(IF(totalyrs&gt;6,IF('Salary Detail'!$F$18="X",(IF(F55*(1+$K$15)^6&gt; MAXSAL,(MAXSAL*O259),(F55*O259*yr7percent*(1+$K$15)^6))),(F55*O259*yr7percent*(1+$K$15)^6)),0),0)),"")</f>
        <v/>
      </c>
      <c r="L259" s="115" t="str">
        <f t="shared" si="48"/>
        <v/>
      </c>
      <c r="M259" s="266" t="str">
        <f t="shared" si="44"/>
        <v/>
      </c>
      <c r="N259" s="118" t="str">
        <f t="shared" si="45"/>
        <v/>
      </c>
      <c r="O259" s="185" t="str">
        <f t="shared" si="46"/>
        <v/>
      </c>
      <c r="P259" s="679"/>
      <c r="Q259" s="679"/>
      <c r="R259" s="674"/>
      <c r="S259" s="674"/>
      <c r="T259" s="674"/>
      <c r="U259" s="674"/>
      <c r="V259" s="674"/>
      <c r="W259" s="679"/>
      <c r="X259" s="679"/>
      <c r="Y259" s="674"/>
      <c r="Z259" s="674"/>
      <c r="AA259" s="674"/>
    </row>
    <row r="260" spans="1:27" x14ac:dyDescent="0.25">
      <c r="A260" s="114" t="str">
        <f t="shared" si="37"/>
        <v/>
      </c>
      <c r="B260" s="130" t="str">
        <f t="shared" si="38"/>
        <v/>
      </c>
      <c r="C260" s="130" t="str">
        <f>IFERROR(IF(ROUND(IF(totalyrs&gt;5,IF('Salary Detail'!$F$18="X",(IF(F56*(1+$K$15)^5&gt; MAXSAL,(MAXSAL*G260),(F56*G260*yr6percent*(1+$K$15)^5))),(F56*G260*yr6percent*(1+$K$15)^5)),0),0)=0,"",ROUND(IF(totalyrs&gt;5,IF('Salary Detail'!$F$18="X",(IF(F56*(1+$K$15)^5&gt; MAXSAL,(MAXSAL*G260),(F56*G260*yr6percent*(1+$K$15)^5))),(F56*G260*yr6percent*(1+$K$15)^5)),0),0)),"")</f>
        <v/>
      </c>
      <c r="D260" s="115" t="str">
        <f t="shared" si="47"/>
        <v/>
      </c>
      <c r="E260" s="266" t="str">
        <f t="shared" si="39"/>
        <v/>
      </c>
      <c r="F260" s="116" t="str">
        <f t="shared" si="40"/>
        <v/>
      </c>
      <c r="G260" s="183" t="str">
        <f t="shared" si="41"/>
        <v/>
      </c>
      <c r="H260" s="910" t="str">
        <f t="shared" si="42"/>
        <v/>
      </c>
      <c r="I260" s="939"/>
      <c r="J260" s="271" t="str">
        <f t="shared" si="43"/>
        <v/>
      </c>
      <c r="K260" s="131" t="str">
        <f>IFERROR(IF(ROUND(IF(totalyrs&gt;6,IF('Salary Detail'!$F$18="X",(IF(F56*(1+$K$15)^6&gt; MAXSAL,(MAXSAL*O260),(F56*O260*yr7percent*(1+$K$15)^6))),(F56*O260*yr7percent*(1+$K$15)^6)),0),0)=0,"",ROUND(IF(totalyrs&gt;6,IF('Salary Detail'!$F$18="X",(IF(F56*(1+$K$15)^6&gt; MAXSAL,(MAXSAL*O260),(F56*O260*yr7percent*(1+$K$15)^6))),(F56*O260*yr7percent*(1+$K$15)^6)),0),0)),"")</f>
        <v/>
      </c>
      <c r="L260" s="115" t="str">
        <f t="shared" si="48"/>
        <v/>
      </c>
      <c r="M260" s="266" t="str">
        <f t="shared" si="44"/>
        <v/>
      </c>
      <c r="N260" s="118" t="str">
        <f t="shared" si="45"/>
        <v/>
      </c>
      <c r="O260" s="185" t="str">
        <f t="shared" si="46"/>
        <v/>
      </c>
      <c r="P260" s="679"/>
      <c r="Q260" s="679"/>
      <c r="R260" s="674"/>
      <c r="S260" s="674"/>
      <c r="T260" s="674"/>
      <c r="U260" s="674"/>
      <c r="V260" s="674"/>
      <c r="W260" s="679"/>
      <c r="X260" s="679"/>
      <c r="Y260" s="674"/>
      <c r="Z260" s="674"/>
      <c r="AA260" s="674"/>
    </row>
    <row r="261" spans="1:27" x14ac:dyDescent="0.25">
      <c r="A261" s="114" t="str">
        <f t="shared" si="37"/>
        <v/>
      </c>
      <c r="B261" s="130" t="str">
        <f t="shared" si="38"/>
        <v/>
      </c>
      <c r="C261" s="130" t="str">
        <f>IFERROR(IF(ROUND(IF(totalyrs&gt;5,IF('Salary Detail'!$F$18="X",(IF(F57*(1+$K$15)^5&gt; MAXSAL,(MAXSAL*G261),(F57*G261*yr6percent*(1+$K$15)^5))),(F57*G261*yr6percent*(1+$K$15)^5)),0),0)=0,"",ROUND(IF(totalyrs&gt;5,IF('Salary Detail'!$F$18="X",(IF(F57*(1+$K$15)^5&gt; MAXSAL,(MAXSAL*G261),(F57*G261*yr6percent*(1+$K$15)^5))),(F57*G261*yr6percent*(1+$K$15)^5)),0),0)),"")</f>
        <v/>
      </c>
      <c r="D261" s="115" t="str">
        <f t="shared" si="47"/>
        <v/>
      </c>
      <c r="E261" s="266" t="str">
        <f t="shared" si="39"/>
        <v/>
      </c>
      <c r="F261" s="116" t="str">
        <f t="shared" si="40"/>
        <v/>
      </c>
      <c r="G261" s="183" t="str">
        <f t="shared" si="41"/>
        <v/>
      </c>
      <c r="H261" s="910" t="str">
        <f t="shared" si="42"/>
        <v/>
      </c>
      <c r="I261" s="939"/>
      <c r="J261" s="271" t="str">
        <f t="shared" si="43"/>
        <v/>
      </c>
      <c r="K261" s="131" t="str">
        <f>IFERROR(IF(ROUND(IF(totalyrs&gt;6,IF('Salary Detail'!$F$18="X",(IF(F57*(1+$K$15)^6&gt; MAXSAL,(MAXSAL*O261),(F57*O261*yr7percent*(1+$K$15)^6))),(F57*O261*yr7percent*(1+$K$15)^6)),0),0)=0,"",ROUND(IF(totalyrs&gt;6,IF('Salary Detail'!$F$18="X",(IF(F57*(1+$K$15)^6&gt; MAXSAL,(MAXSAL*O261),(F57*O261*yr7percent*(1+$K$15)^6))),(F57*O261*yr7percent*(1+$K$15)^6)),0),0)),"")</f>
        <v/>
      </c>
      <c r="L261" s="115" t="str">
        <f t="shared" si="48"/>
        <v/>
      </c>
      <c r="M261" s="266" t="str">
        <f t="shared" si="44"/>
        <v/>
      </c>
      <c r="N261" s="118" t="str">
        <f t="shared" si="45"/>
        <v/>
      </c>
      <c r="O261" s="185" t="str">
        <f t="shared" si="46"/>
        <v/>
      </c>
      <c r="P261" s="679"/>
      <c r="Q261" s="679"/>
      <c r="R261" s="674"/>
      <c r="S261" s="674"/>
      <c r="T261" s="674"/>
      <c r="U261" s="674"/>
      <c r="V261" s="674"/>
      <c r="W261" s="679"/>
      <c r="X261" s="679"/>
      <c r="Y261" s="674"/>
      <c r="Z261" s="674"/>
      <c r="AA261" s="674"/>
    </row>
    <row r="262" spans="1:27" x14ac:dyDescent="0.25">
      <c r="A262" s="114" t="str">
        <f t="shared" si="37"/>
        <v/>
      </c>
      <c r="B262" s="130" t="str">
        <f t="shared" si="38"/>
        <v/>
      </c>
      <c r="C262" s="130" t="str">
        <f>IFERROR(IF(ROUND(IF(totalyrs&gt;5,IF('Salary Detail'!$F$18="X",(IF(F58*(1+$K$15)^5&gt; MAXSAL,(MAXSAL*G262),(F58*G262*yr6percent*(1+$K$15)^5))),(F58*G262*yr6percent*(1+$K$15)^5)),0),0)=0,"",ROUND(IF(totalyrs&gt;5,IF('Salary Detail'!$F$18="X",(IF(F58*(1+$K$15)^5&gt; MAXSAL,(MAXSAL*G262),(F58*G262*yr6percent*(1+$K$15)^5))),(F58*G262*yr6percent*(1+$K$15)^5)),0),0)),"")</f>
        <v/>
      </c>
      <c r="D262" s="115" t="str">
        <f t="shared" si="47"/>
        <v/>
      </c>
      <c r="E262" s="266" t="str">
        <f t="shared" si="39"/>
        <v/>
      </c>
      <c r="F262" s="116" t="str">
        <f t="shared" si="40"/>
        <v/>
      </c>
      <c r="G262" s="183" t="str">
        <f t="shared" si="41"/>
        <v/>
      </c>
      <c r="H262" s="910" t="str">
        <f t="shared" si="42"/>
        <v/>
      </c>
      <c r="I262" s="939"/>
      <c r="J262" s="271" t="str">
        <f t="shared" si="43"/>
        <v/>
      </c>
      <c r="K262" s="131" t="str">
        <f>IFERROR(IF(ROUND(IF(totalyrs&gt;6,IF('Salary Detail'!$F$18="X",(IF(F58*(1+$K$15)^6&gt; MAXSAL,(MAXSAL*O262),(F58*O262*yr7percent*(1+$K$15)^6))),(F58*O262*yr7percent*(1+$K$15)^6)),0),0)=0,"",ROUND(IF(totalyrs&gt;6,IF('Salary Detail'!$F$18="X",(IF(F58*(1+$K$15)^6&gt; MAXSAL,(MAXSAL*O262),(F58*O262*yr7percent*(1+$K$15)^6))),(F58*O262*yr7percent*(1+$K$15)^6)),0),0)),"")</f>
        <v/>
      </c>
      <c r="L262" s="115" t="str">
        <f t="shared" si="48"/>
        <v/>
      </c>
      <c r="M262" s="266" t="str">
        <f t="shared" si="44"/>
        <v/>
      </c>
      <c r="N262" s="118" t="str">
        <f t="shared" si="45"/>
        <v/>
      </c>
      <c r="O262" s="185" t="str">
        <f t="shared" si="46"/>
        <v/>
      </c>
      <c r="P262" s="679"/>
      <c r="Q262" s="679"/>
      <c r="R262" s="674"/>
      <c r="S262" s="674"/>
      <c r="T262" s="674"/>
      <c r="U262" s="674"/>
      <c r="V262" s="674"/>
      <c r="W262" s="679"/>
      <c r="X262" s="679"/>
      <c r="Y262" s="674"/>
      <c r="Z262" s="674"/>
      <c r="AA262" s="674"/>
    </row>
    <row r="263" spans="1:27" x14ac:dyDescent="0.25">
      <c r="A263" s="114" t="str">
        <f t="shared" si="37"/>
        <v/>
      </c>
      <c r="B263" s="130" t="str">
        <f t="shared" si="38"/>
        <v/>
      </c>
      <c r="C263" s="130" t="str">
        <f>IFERROR(IF(ROUND(IF(totalyrs&gt;5,IF('Salary Detail'!$F$18="X",(IF(F59*(1+$K$15)^5&gt; MAXSAL,(MAXSAL*G263),(F59*G263*yr6percent*(1+$K$15)^5))),(F59*G263*yr6percent*(1+$K$15)^5)),0),0)=0,"",ROUND(IF(totalyrs&gt;5,IF('Salary Detail'!$F$18="X",(IF(F59*(1+$K$15)^5&gt; MAXSAL,(MAXSAL*G263),(F59*G263*yr6percent*(1+$K$15)^5))),(F59*G263*yr6percent*(1+$K$15)^5)),0),0)),"")</f>
        <v/>
      </c>
      <c r="D263" s="115" t="str">
        <f t="shared" si="47"/>
        <v/>
      </c>
      <c r="E263" s="266" t="str">
        <f t="shared" si="39"/>
        <v/>
      </c>
      <c r="F263" s="116" t="str">
        <f t="shared" si="40"/>
        <v/>
      </c>
      <c r="G263" s="183" t="str">
        <f t="shared" si="41"/>
        <v/>
      </c>
      <c r="H263" s="910" t="str">
        <f t="shared" si="42"/>
        <v/>
      </c>
      <c r="I263" s="939"/>
      <c r="J263" s="271" t="str">
        <f t="shared" si="43"/>
        <v/>
      </c>
      <c r="K263" s="131" t="str">
        <f>IFERROR(IF(ROUND(IF(totalyrs&gt;6,IF('Salary Detail'!$F$18="X",(IF(F59*(1+$K$15)^6&gt; MAXSAL,(MAXSAL*O263),(F59*O263*yr7percent*(1+$K$15)^6))),(F59*O263*yr7percent*(1+$K$15)^6)),0),0)=0,"",ROUND(IF(totalyrs&gt;6,IF('Salary Detail'!$F$18="X",(IF(F59*(1+$K$15)^6&gt; MAXSAL,(MAXSAL*O263),(F59*O263*yr7percent*(1+$K$15)^6))),(F59*O263*yr7percent*(1+$K$15)^6)),0),0)),"")</f>
        <v/>
      </c>
      <c r="L263" s="115" t="str">
        <f t="shared" si="48"/>
        <v/>
      </c>
      <c r="M263" s="266" t="str">
        <f t="shared" si="44"/>
        <v/>
      </c>
      <c r="N263" s="118" t="str">
        <f t="shared" si="45"/>
        <v/>
      </c>
      <c r="O263" s="185" t="str">
        <f t="shared" si="46"/>
        <v/>
      </c>
      <c r="P263" s="679"/>
      <c r="Q263" s="679"/>
      <c r="R263" s="674"/>
      <c r="S263" s="674"/>
      <c r="T263" s="674"/>
      <c r="U263" s="674"/>
      <c r="V263" s="674"/>
      <c r="W263" s="679"/>
      <c r="X263" s="679"/>
      <c r="Y263" s="674"/>
      <c r="Z263" s="674"/>
      <c r="AA263" s="674"/>
    </row>
    <row r="264" spans="1:27" x14ac:dyDescent="0.25">
      <c r="A264" s="114" t="str">
        <f t="shared" si="37"/>
        <v/>
      </c>
      <c r="B264" s="130" t="str">
        <f t="shared" si="38"/>
        <v/>
      </c>
      <c r="C264" s="130" t="str">
        <f>IFERROR(IF(ROUND(IF(totalyrs&gt;5,IF('Salary Detail'!$F$18="X",(IF(F60*(1+$K$15)^5&gt; MAXSAL,(MAXSAL*G264),(F60*G264*yr6percent*(1+$K$15)^5))),(F60*G264*yr6percent*(1+$K$15)^5)),0),0)=0,"",ROUND(IF(totalyrs&gt;5,IF('Salary Detail'!$F$18="X",(IF(F60*(1+$K$15)^5&gt; MAXSAL,(MAXSAL*G264),(F60*G264*yr6percent*(1+$K$15)^5))),(F60*G264*yr6percent*(1+$K$15)^5)),0),0)),"")</f>
        <v/>
      </c>
      <c r="D264" s="115" t="str">
        <f t="shared" si="47"/>
        <v/>
      </c>
      <c r="E264" s="266" t="str">
        <f t="shared" si="39"/>
        <v/>
      </c>
      <c r="F264" s="116" t="str">
        <f t="shared" si="40"/>
        <v/>
      </c>
      <c r="G264" s="183" t="str">
        <f t="shared" si="41"/>
        <v/>
      </c>
      <c r="H264" s="910" t="str">
        <f t="shared" si="42"/>
        <v/>
      </c>
      <c r="I264" s="939"/>
      <c r="J264" s="271" t="str">
        <f t="shared" si="43"/>
        <v/>
      </c>
      <c r="K264" s="131" t="str">
        <f>IFERROR(IF(ROUND(IF(totalyrs&gt;6,IF('Salary Detail'!$F$18="X",(IF(F60*(1+$K$15)^6&gt; MAXSAL,(MAXSAL*O264),(F60*O264*yr7percent*(1+$K$15)^6))),(F60*O264*yr7percent*(1+$K$15)^6)),0),0)=0,"",ROUND(IF(totalyrs&gt;6,IF('Salary Detail'!$F$18="X",(IF(F60*(1+$K$15)^6&gt; MAXSAL,(MAXSAL*O264),(F60*O264*yr7percent*(1+$K$15)^6))),(F60*O264*yr7percent*(1+$K$15)^6)),0),0)),"")</f>
        <v/>
      </c>
      <c r="L264" s="115" t="str">
        <f t="shared" si="48"/>
        <v/>
      </c>
      <c r="M264" s="266" t="str">
        <f t="shared" si="44"/>
        <v/>
      </c>
      <c r="N264" s="118" t="str">
        <f t="shared" si="45"/>
        <v/>
      </c>
      <c r="O264" s="185" t="str">
        <f t="shared" si="46"/>
        <v/>
      </c>
      <c r="P264" s="679"/>
      <c r="Q264" s="679"/>
      <c r="R264" s="674"/>
      <c r="S264" s="674"/>
      <c r="T264" s="674"/>
      <c r="U264" s="674"/>
      <c r="V264" s="674"/>
      <c r="W264" s="679"/>
      <c r="X264" s="679"/>
      <c r="Y264" s="674"/>
      <c r="Z264" s="674"/>
      <c r="AA264" s="674"/>
    </row>
    <row r="265" spans="1:27" x14ac:dyDescent="0.25">
      <c r="A265" s="114" t="str">
        <f t="shared" si="37"/>
        <v/>
      </c>
      <c r="B265" s="130" t="str">
        <f t="shared" si="38"/>
        <v/>
      </c>
      <c r="C265" s="130" t="str">
        <f>IFERROR(IF(ROUND(IF(totalyrs&gt;5,IF('Salary Detail'!$F$18="X",(IF(F61*(1+$K$15)^5&gt; MAXSAL,(MAXSAL*G265),(F61*G265*yr6percent*(1+$K$15)^5))),(F61*G265*yr6percent*(1+$K$15)^5)),0),0)=0,"",ROUND(IF(totalyrs&gt;5,IF('Salary Detail'!$F$18="X",(IF(F61*(1+$K$15)^5&gt; MAXSAL,(MAXSAL*G265),(F61*G265*yr6percent*(1+$K$15)^5))),(F61*G265*yr6percent*(1+$K$15)^5)),0),0)),"")</f>
        <v/>
      </c>
      <c r="D265" s="115" t="str">
        <f t="shared" si="47"/>
        <v/>
      </c>
      <c r="E265" s="266" t="str">
        <f t="shared" si="39"/>
        <v/>
      </c>
      <c r="F265" s="116" t="str">
        <f t="shared" si="40"/>
        <v/>
      </c>
      <c r="G265" s="183" t="str">
        <f t="shared" si="41"/>
        <v/>
      </c>
      <c r="H265" s="910" t="str">
        <f t="shared" si="42"/>
        <v/>
      </c>
      <c r="I265" s="939"/>
      <c r="J265" s="271" t="str">
        <f t="shared" si="43"/>
        <v/>
      </c>
      <c r="K265" s="131" t="str">
        <f>IFERROR(IF(ROUND(IF(totalyrs&gt;6,IF('Salary Detail'!$F$18="X",(IF(F61*(1+$K$15)^6&gt; MAXSAL,(MAXSAL*O265),(F61*O265*yr7percent*(1+$K$15)^6))),(F61*O265*yr7percent*(1+$K$15)^6)),0),0)=0,"",ROUND(IF(totalyrs&gt;6,IF('Salary Detail'!$F$18="X",(IF(F61*(1+$K$15)^6&gt; MAXSAL,(MAXSAL*O265),(F61*O265*yr7percent*(1+$K$15)^6))),(F61*O265*yr7percent*(1+$K$15)^6)),0),0)),"")</f>
        <v/>
      </c>
      <c r="L265" s="115" t="str">
        <f t="shared" si="48"/>
        <v/>
      </c>
      <c r="M265" s="266" t="str">
        <f t="shared" si="44"/>
        <v/>
      </c>
      <c r="N265" s="118" t="str">
        <f t="shared" si="45"/>
        <v/>
      </c>
      <c r="O265" s="185" t="str">
        <f t="shared" si="46"/>
        <v/>
      </c>
      <c r="P265" s="679"/>
      <c r="Q265" s="679"/>
      <c r="R265" s="674"/>
      <c r="S265" s="674"/>
      <c r="T265" s="674"/>
      <c r="U265" s="674"/>
      <c r="V265" s="674"/>
      <c r="W265" s="679"/>
      <c r="X265" s="679"/>
      <c r="Y265" s="674"/>
      <c r="Z265" s="674"/>
      <c r="AA265" s="674"/>
    </row>
    <row r="266" spans="1:27" x14ac:dyDescent="0.25">
      <c r="A266" s="114" t="str">
        <f t="shared" si="37"/>
        <v/>
      </c>
      <c r="B266" s="130" t="str">
        <f t="shared" si="38"/>
        <v/>
      </c>
      <c r="C266" s="130" t="str">
        <f>IFERROR(IF(ROUND(IF(totalyrs&gt;5,IF('Salary Detail'!$F$18="X",(IF(F62*(1+$K$15)^5&gt; MAXSAL,(MAXSAL*G266),(F62*G266*yr6percent*(1+$K$15)^5))),(F62*G266*yr6percent*(1+$K$15)^5)),0),0)=0,"",ROUND(IF(totalyrs&gt;5,IF('Salary Detail'!$F$18="X",(IF(F62*(1+$K$15)^5&gt; MAXSAL,(MAXSAL*G266),(F62*G266*yr6percent*(1+$K$15)^5))),(F62*G266*yr6percent*(1+$K$15)^5)),0),0)),"")</f>
        <v/>
      </c>
      <c r="D266" s="115" t="str">
        <f t="shared" si="47"/>
        <v/>
      </c>
      <c r="E266" s="266" t="str">
        <f t="shared" si="39"/>
        <v/>
      </c>
      <c r="F266" s="116" t="str">
        <f t="shared" si="40"/>
        <v/>
      </c>
      <c r="G266" s="183" t="str">
        <f t="shared" si="41"/>
        <v/>
      </c>
      <c r="H266" s="910" t="str">
        <f t="shared" si="42"/>
        <v/>
      </c>
      <c r="I266" s="939"/>
      <c r="J266" s="271" t="str">
        <f t="shared" si="43"/>
        <v/>
      </c>
      <c r="K266" s="131" t="str">
        <f>IFERROR(IF(ROUND(IF(totalyrs&gt;6,IF('Salary Detail'!$F$18="X",(IF(F62*(1+$K$15)^6&gt; MAXSAL,(MAXSAL*O266),(F62*O266*yr7percent*(1+$K$15)^6))),(F62*O266*yr7percent*(1+$K$15)^6)),0),0)=0,"",ROUND(IF(totalyrs&gt;6,IF('Salary Detail'!$F$18="X",(IF(F62*(1+$K$15)^6&gt; MAXSAL,(MAXSAL*O266),(F62*O266*yr7percent*(1+$K$15)^6))),(F62*O266*yr7percent*(1+$K$15)^6)),0),0)),"")</f>
        <v/>
      </c>
      <c r="L266" s="115" t="str">
        <f t="shared" si="48"/>
        <v/>
      </c>
      <c r="M266" s="266" t="str">
        <f t="shared" si="44"/>
        <v/>
      </c>
      <c r="N266" s="118" t="str">
        <f t="shared" si="45"/>
        <v/>
      </c>
      <c r="O266" s="185" t="str">
        <f t="shared" si="46"/>
        <v/>
      </c>
      <c r="P266" s="679"/>
      <c r="Q266" s="679"/>
      <c r="R266" s="674"/>
      <c r="S266" s="674"/>
      <c r="T266" s="674"/>
      <c r="U266" s="674"/>
      <c r="V266" s="674"/>
      <c r="W266" s="679"/>
      <c r="X266" s="679"/>
      <c r="Y266" s="674"/>
      <c r="Z266" s="674"/>
      <c r="AA266" s="674"/>
    </row>
    <row r="267" spans="1:27" x14ac:dyDescent="0.25">
      <c r="A267" s="122" t="s">
        <v>50</v>
      </c>
      <c r="B267" s="281"/>
      <c r="C267" s="133">
        <f>SUM(C227:C266)</f>
        <v>0</v>
      </c>
      <c r="D267" s="117">
        <f>SUM(D227:D266)</f>
        <v>0</v>
      </c>
      <c r="E267" s="278"/>
      <c r="F267" s="123">
        <f t="shared" ref="F267" si="49">C267+D267</f>
        <v>0</v>
      </c>
      <c r="G267" s="219"/>
      <c r="H267" s="122" t="s">
        <v>50</v>
      </c>
      <c r="I267" s="125"/>
      <c r="J267" s="282"/>
      <c r="K267" s="117">
        <f>SUM(K227:K266)</f>
        <v>0</v>
      </c>
      <c r="L267" s="117">
        <f>SUM(L227:L266)</f>
        <v>0</v>
      </c>
      <c r="M267" s="278"/>
      <c r="N267" s="250">
        <f t="shared" ref="N267" si="50">K267+L267</f>
        <v>0</v>
      </c>
      <c r="O267" s="207"/>
      <c r="P267" s="679"/>
      <c r="Q267" s="679"/>
      <c r="R267" s="687"/>
      <c r="S267" s="674"/>
      <c r="T267" s="674"/>
      <c r="U267" s="674"/>
      <c r="V267" s="674"/>
      <c r="W267" s="674"/>
      <c r="X267" s="674"/>
      <c r="Y267" s="674"/>
      <c r="Z267" s="674"/>
      <c r="AA267" s="674"/>
    </row>
    <row r="268" spans="1:27" x14ac:dyDescent="0.25">
      <c r="A268" s="207"/>
      <c r="B268" s="207"/>
      <c r="C268" s="208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679"/>
      <c r="Q268" s="691"/>
      <c r="R268" s="687"/>
      <c r="S268" s="674"/>
      <c r="T268" s="674"/>
      <c r="U268" s="674"/>
      <c r="V268" s="674"/>
      <c r="W268" s="674"/>
      <c r="X268" s="674"/>
      <c r="Y268" s="674"/>
      <c r="Z268" s="674"/>
      <c r="AA268" s="674"/>
    </row>
    <row r="269" spans="1:27" x14ac:dyDescent="0.25">
      <c r="A269" s="207"/>
      <c r="B269" s="207"/>
      <c r="C269" s="208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679"/>
      <c r="Q269" s="691"/>
      <c r="R269" s="687"/>
      <c r="S269" s="674"/>
      <c r="T269" s="674"/>
      <c r="U269" s="674"/>
      <c r="V269" s="674"/>
      <c r="W269" s="674"/>
      <c r="X269" s="674"/>
      <c r="Y269" s="674"/>
      <c r="Z269" s="674"/>
      <c r="AA269" s="674"/>
    </row>
    <row r="270" spans="1:27" x14ac:dyDescent="0.25">
      <c r="A270" s="207"/>
      <c r="B270" s="207"/>
      <c r="C270" s="208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679"/>
      <c r="Q270" s="691"/>
      <c r="R270" s="687"/>
      <c r="S270" s="674"/>
      <c r="T270" s="674"/>
      <c r="U270" s="674"/>
      <c r="V270" s="674"/>
      <c r="W270" s="674"/>
      <c r="X270" s="674"/>
      <c r="Y270" s="674"/>
      <c r="Z270" s="674"/>
      <c r="AA270" s="674"/>
    </row>
    <row r="271" spans="1:27" x14ac:dyDescent="0.25">
      <c r="A271" s="207"/>
      <c r="B271" s="207"/>
      <c r="C271" s="208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679"/>
      <c r="Q271" s="691"/>
      <c r="R271" s="687"/>
      <c r="S271" s="674"/>
      <c r="T271" s="674"/>
      <c r="U271" s="674"/>
      <c r="V271" s="674"/>
      <c r="W271" s="674"/>
      <c r="X271" s="674"/>
      <c r="Y271" s="674"/>
      <c r="Z271" s="674"/>
      <c r="AA271" s="674"/>
    </row>
    <row r="272" spans="1:27" x14ac:dyDescent="0.25">
      <c r="A272" s="207"/>
      <c r="B272" s="207"/>
      <c r="C272" s="208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679"/>
      <c r="Q272" s="691"/>
      <c r="R272" s="687"/>
      <c r="S272" s="674"/>
      <c r="T272" s="674"/>
      <c r="U272" s="674"/>
      <c r="V272" s="674"/>
      <c r="W272" s="674"/>
      <c r="X272" s="674"/>
      <c r="Y272" s="674"/>
      <c r="Z272" s="674"/>
      <c r="AA272" s="674"/>
    </row>
    <row r="273" spans="1:27" x14ac:dyDescent="0.25">
      <c r="A273" s="207"/>
      <c r="B273" s="207"/>
      <c r="C273" s="208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679"/>
      <c r="Q273" s="691"/>
      <c r="R273" s="687"/>
      <c r="S273" s="674"/>
      <c r="T273" s="674"/>
      <c r="U273" s="674"/>
      <c r="V273" s="674"/>
      <c r="W273" s="674"/>
      <c r="X273" s="674"/>
      <c r="Y273" s="674"/>
      <c r="Z273" s="674"/>
      <c r="AA273" s="674"/>
    </row>
    <row r="274" spans="1:27" x14ac:dyDescent="0.25">
      <c r="A274" s="207"/>
      <c r="B274" s="207"/>
      <c r="C274" s="208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679"/>
      <c r="Q274" s="691"/>
      <c r="R274" s="687"/>
      <c r="S274" s="674"/>
      <c r="T274" s="674"/>
      <c r="U274" s="674"/>
      <c r="V274" s="674"/>
      <c r="W274" s="674"/>
      <c r="X274" s="674"/>
      <c r="Y274" s="674"/>
      <c r="Z274" s="674"/>
      <c r="AA274" s="674"/>
    </row>
    <row r="275" spans="1:27" x14ac:dyDescent="0.25">
      <c r="A275" s="207"/>
      <c r="B275" s="207"/>
      <c r="C275" s="208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679"/>
      <c r="Q275" s="691"/>
      <c r="R275" s="687"/>
      <c r="S275" s="674"/>
      <c r="T275" s="674"/>
      <c r="U275" s="674"/>
      <c r="V275" s="674"/>
      <c r="W275" s="674"/>
      <c r="X275" s="674"/>
      <c r="Y275" s="674"/>
      <c r="Z275" s="674"/>
      <c r="AA275" s="674"/>
    </row>
    <row r="276" spans="1:27" x14ac:dyDescent="0.25">
      <c r="A276" s="207"/>
      <c r="B276" s="207"/>
      <c r="C276" s="208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679"/>
      <c r="Q276" s="691"/>
      <c r="R276" s="687"/>
      <c r="S276" s="674"/>
      <c r="T276" s="674"/>
      <c r="U276" s="674"/>
      <c r="V276" s="674"/>
      <c r="W276" s="674"/>
      <c r="X276" s="674"/>
      <c r="Y276" s="674"/>
      <c r="Z276" s="674"/>
      <c r="AA276" s="674"/>
    </row>
    <row r="277" spans="1:27" x14ac:dyDescent="0.25">
      <c r="A277" s="207"/>
      <c r="B277" s="207"/>
      <c r="C277" s="208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679"/>
      <c r="Q277" s="691"/>
      <c r="R277" s="687"/>
      <c r="S277" s="674"/>
      <c r="T277" s="674"/>
      <c r="U277" s="674"/>
      <c r="V277" s="674"/>
      <c r="W277" s="674"/>
      <c r="X277" s="674"/>
      <c r="Y277" s="674"/>
      <c r="Z277" s="674"/>
      <c r="AA277" s="674"/>
    </row>
    <row r="278" spans="1:27" x14ac:dyDescent="0.25">
      <c r="A278" s="207"/>
      <c r="B278" s="207"/>
      <c r="C278" s="208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679"/>
      <c r="Q278" s="691"/>
      <c r="R278" s="687"/>
      <c r="S278" s="674"/>
      <c r="T278" s="674"/>
      <c r="U278" s="674"/>
      <c r="V278" s="674"/>
      <c r="W278" s="674"/>
      <c r="X278" s="674"/>
      <c r="Y278" s="674"/>
      <c r="Z278" s="674"/>
      <c r="AA278" s="674"/>
    </row>
    <row r="279" spans="1:27" x14ac:dyDescent="0.25">
      <c r="A279" s="207"/>
      <c r="B279" s="207"/>
      <c r="C279" s="208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679"/>
      <c r="Q279" s="691"/>
      <c r="R279" s="687"/>
      <c r="S279" s="674"/>
      <c r="T279" s="674"/>
      <c r="U279" s="674"/>
      <c r="V279" s="674"/>
      <c r="W279" s="674"/>
      <c r="X279" s="674"/>
      <c r="Y279" s="674"/>
      <c r="Z279" s="674"/>
      <c r="AA279" s="674"/>
    </row>
    <row r="280" spans="1:27" x14ac:dyDescent="0.25">
      <c r="A280" s="207"/>
      <c r="B280" s="207"/>
      <c r="C280" s="208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679"/>
      <c r="Q280" s="691"/>
      <c r="R280" s="687"/>
      <c r="S280" s="674"/>
      <c r="T280" s="674"/>
      <c r="U280" s="674"/>
      <c r="V280" s="674"/>
      <c r="W280" s="674"/>
      <c r="X280" s="674"/>
      <c r="Y280" s="674"/>
      <c r="Z280" s="674"/>
      <c r="AA280" s="674"/>
    </row>
    <row r="281" spans="1:27" x14ac:dyDescent="0.25">
      <c r="A281" s="207"/>
      <c r="B281" s="207"/>
      <c r="C281" s="208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679"/>
      <c r="Q281" s="691"/>
      <c r="R281" s="687"/>
      <c r="S281" s="674"/>
      <c r="T281" s="674"/>
      <c r="U281" s="674"/>
      <c r="V281" s="674"/>
      <c r="W281" s="674"/>
      <c r="X281" s="674"/>
      <c r="Y281" s="674"/>
      <c r="Z281" s="674"/>
      <c r="AA281" s="674"/>
    </row>
    <row r="282" spans="1:27" x14ac:dyDescent="0.25">
      <c r="A282" s="207"/>
      <c r="B282" s="207"/>
      <c r="C282" s="208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679"/>
      <c r="Q282" s="691"/>
      <c r="R282" s="687"/>
      <c r="S282" s="674"/>
      <c r="T282" s="674"/>
      <c r="U282" s="674"/>
      <c r="V282" s="674"/>
      <c r="W282" s="674"/>
      <c r="X282" s="674"/>
      <c r="Y282" s="674"/>
      <c r="Z282" s="674"/>
      <c r="AA282" s="674"/>
    </row>
    <row r="283" spans="1:27" x14ac:dyDescent="0.25">
      <c r="A283" s="207"/>
      <c r="B283" s="207"/>
      <c r="C283" s="208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679"/>
      <c r="Q283" s="691"/>
      <c r="R283" s="687"/>
      <c r="S283" s="674"/>
      <c r="T283" s="674"/>
      <c r="U283" s="674"/>
      <c r="V283" s="674"/>
      <c r="W283" s="674"/>
      <c r="X283" s="674"/>
      <c r="Y283" s="674"/>
      <c r="Z283" s="674"/>
      <c r="AA283" s="674"/>
    </row>
    <row r="284" spans="1:27" x14ac:dyDescent="0.25">
      <c r="A284" s="207"/>
      <c r="B284" s="207"/>
      <c r="C284" s="208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679"/>
      <c r="Q284" s="691"/>
      <c r="R284" s="687"/>
      <c r="S284" s="674"/>
      <c r="T284" s="674"/>
      <c r="U284" s="674"/>
      <c r="V284" s="674"/>
      <c r="W284" s="674"/>
      <c r="X284" s="674"/>
      <c r="Y284" s="674"/>
      <c r="Z284" s="674"/>
      <c r="AA284" s="674"/>
    </row>
    <row r="285" spans="1:27" x14ac:dyDescent="0.25">
      <c r="A285" s="207"/>
      <c r="B285" s="207"/>
      <c r="C285" s="208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679"/>
      <c r="Q285" s="691"/>
      <c r="R285" s="687"/>
      <c r="S285" s="674"/>
      <c r="T285" s="674"/>
      <c r="U285" s="674"/>
      <c r="V285" s="674"/>
      <c r="W285" s="674"/>
      <c r="X285" s="674"/>
      <c r="Y285" s="674"/>
      <c r="Z285" s="674"/>
      <c r="AA285" s="674"/>
    </row>
    <row r="286" spans="1:27" x14ac:dyDescent="0.25">
      <c r="A286" s="209"/>
      <c r="B286" s="209"/>
      <c r="C286" s="210"/>
      <c r="D286" s="209"/>
      <c r="E286" s="209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687"/>
      <c r="Q286" s="687"/>
      <c r="R286" s="687"/>
      <c r="S286" s="674"/>
      <c r="T286" s="674"/>
      <c r="U286" s="674"/>
      <c r="V286" s="674"/>
      <c r="W286" s="674"/>
      <c r="X286" s="674"/>
      <c r="Y286" s="674"/>
      <c r="Z286" s="674"/>
      <c r="AA286" s="674"/>
    </row>
    <row r="287" spans="1:27" x14ac:dyDescent="0.25">
      <c r="A287" s="209"/>
      <c r="B287" s="209"/>
      <c r="C287" s="210"/>
      <c r="D287" s="209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687"/>
      <c r="Q287" s="687"/>
      <c r="R287" s="687"/>
      <c r="S287" s="674"/>
      <c r="T287" s="674"/>
      <c r="U287" s="674"/>
      <c r="V287" s="674"/>
      <c r="W287" s="674"/>
      <c r="X287" s="674"/>
      <c r="Y287" s="674"/>
      <c r="Z287" s="674"/>
      <c r="AA287" s="674"/>
    </row>
    <row r="288" spans="1:27" x14ac:dyDescent="0.25">
      <c r="A288" s="924" t="s">
        <v>206</v>
      </c>
      <c r="B288" s="924"/>
      <c r="C288" s="925"/>
      <c r="D288" s="925"/>
      <c r="E288" s="925"/>
      <c r="F288" s="925"/>
      <c r="G288" s="925"/>
      <c r="H288" s="925"/>
      <c r="I288" s="925"/>
      <c r="J288" s="925"/>
      <c r="K288" s="925"/>
      <c r="L288" s="925"/>
      <c r="M288" s="925"/>
      <c r="N288" s="925"/>
      <c r="O288" s="207"/>
      <c r="P288" s="679"/>
      <c r="Q288" s="691"/>
      <c r="R288" s="687"/>
      <c r="S288" s="674"/>
      <c r="T288" s="674"/>
      <c r="U288" s="674"/>
      <c r="V288" s="674"/>
      <c r="W288" s="674"/>
      <c r="X288" s="674"/>
      <c r="Y288" s="674"/>
      <c r="Z288" s="674"/>
      <c r="AA288" s="674"/>
    </row>
    <row r="289" spans="1:27" x14ac:dyDescent="0.25">
      <c r="A289" s="924" t="s">
        <v>143</v>
      </c>
      <c r="B289" s="924"/>
      <c r="C289" s="925"/>
      <c r="D289" s="925"/>
      <c r="E289" s="925"/>
      <c r="F289" s="925"/>
      <c r="G289" s="925"/>
      <c r="H289" s="925"/>
      <c r="I289" s="925"/>
      <c r="J289" s="925"/>
      <c r="K289" s="925"/>
      <c r="L289" s="925"/>
      <c r="M289" s="925"/>
      <c r="N289" s="925"/>
      <c r="O289" s="207"/>
      <c r="P289" s="679"/>
      <c r="Q289" s="691"/>
      <c r="R289" s="687"/>
      <c r="S289" s="674"/>
      <c r="T289" s="674"/>
      <c r="U289" s="674"/>
      <c r="V289" s="674"/>
      <c r="W289" s="674"/>
      <c r="X289" s="674"/>
      <c r="Y289" s="674"/>
      <c r="Z289" s="674"/>
      <c r="AA289" s="674"/>
    </row>
    <row r="290" spans="1:27" x14ac:dyDescent="0.25">
      <c r="A290" s="212"/>
      <c r="B290" s="212"/>
      <c r="C290" s="213"/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07"/>
      <c r="P290" s="679"/>
      <c r="Q290" s="691"/>
      <c r="R290" s="687"/>
      <c r="S290" s="674"/>
      <c r="T290" s="674"/>
      <c r="U290" s="674"/>
      <c r="V290" s="674"/>
      <c r="W290" s="674"/>
      <c r="X290" s="674"/>
      <c r="Y290" s="674"/>
      <c r="Z290" s="674"/>
      <c r="AA290" s="674"/>
    </row>
    <row r="291" spans="1:27" x14ac:dyDescent="0.25">
      <c r="A291" s="207"/>
      <c r="B291" s="207"/>
      <c r="C291" s="208" t="s">
        <v>6</v>
      </c>
      <c r="D291" s="207"/>
      <c r="E291" s="207"/>
      <c r="F291" s="908" t="str">
        <f>D5</f>
        <v/>
      </c>
      <c r="G291" s="908"/>
      <c r="H291" s="908"/>
      <c r="I291" s="908"/>
      <c r="J291" s="908"/>
      <c r="K291" s="908"/>
      <c r="L291" s="207"/>
      <c r="M291" s="207"/>
      <c r="N291" s="207"/>
      <c r="O291" s="207"/>
      <c r="P291" s="679"/>
      <c r="Q291" s="691"/>
      <c r="R291" s="687"/>
      <c r="S291" s="674"/>
      <c r="T291" s="674"/>
      <c r="U291" s="674"/>
      <c r="V291" s="674"/>
      <c r="W291" s="674"/>
      <c r="X291" s="674"/>
      <c r="Y291" s="674"/>
      <c r="Z291" s="674"/>
      <c r="AA291" s="674"/>
    </row>
    <row r="292" spans="1:27" x14ac:dyDescent="0.25">
      <c r="A292" s="207"/>
      <c r="B292" s="207"/>
      <c r="C292" s="208" t="s">
        <v>8</v>
      </c>
      <c r="D292" s="207"/>
      <c r="E292" s="207"/>
      <c r="F292" s="909" t="str">
        <f>D6</f>
        <v/>
      </c>
      <c r="G292" s="909"/>
      <c r="H292" s="909"/>
      <c r="I292" s="909"/>
      <c r="J292" s="909"/>
      <c r="K292" s="909"/>
      <c r="L292" s="207"/>
      <c r="M292" s="207"/>
      <c r="N292" s="207"/>
      <c r="O292" s="207"/>
      <c r="P292" s="679"/>
      <c r="Q292" s="691"/>
      <c r="R292" s="687"/>
      <c r="S292" s="674"/>
      <c r="T292" s="674"/>
      <c r="U292" s="674"/>
      <c r="V292" s="674"/>
      <c r="W292" s="674"/>
      <c r="X292" s="674"/>
      <c r="Y292" s="674"/>
      <c r="Z292" s="674"/>
      <c r="AA292" s="674"/>
    </row>
    <row r="293" spans="1:27" x14ac:dyDescent="0.25">
      <c r="A293" s="207"/>
      <c r="B293" s="207"/>
      <c r="C293" s="208" t="s">
        <v>122</v>
      </c>
      <c r="D293" s="207"/>
      <c r="E293" s="207"/>
      <c r="F293" s="909" t="str">
        <f>D7</f>
        <v/>
      </c>
      <c r="G293" s="909"/>
      <c r="H293" s="909"/>
      <c r="I293" s="909"/>
      <c r="J293" s="909"/>
      <c r="K293" s="909"/>
      <c r="L293" s="207"/>
      <c r="M293" s="207"/>
      <c r="N293" s="207"/>
      <c r="O293" s="207"/>
      <c r="P293" s="679"/>
      <c r="Q293" s="691"/>
      <c r="R293" s="687"/>
      <c r="S293" s="674"/>
      <c r="T293" s="674"/>
      <c r="U293" s="674"/>
      <c r="V293" s="674"/>
      <c r="W293" s="674"/>
      <c r="X293" s="674"/>
      <c r="Y293" s="674"/>
      <c r="Z293" s="674"/>
      <c r="AA293" s="674"/>
    </row>
    <row r="294" spans="1:27" x14ac:dyDescent="0.25">
      <c r="A294" s="207"/>
      <c r="B294" s="207"/>
      <c r="C294" s="208" t="s">
        <v>10</v>
      </c>
      <c r="D294" s="207"/>
      <c r="E294" s="207"/>
      <c r="F294" s="909" t="str">
        <f>D8</f>
        <v/>
      </c>
      <c r="G294" s="909"/>
      <c r="H294" s="909"/>
      <c r="I294" s="909"/>
      <c r="J294" s="909"/>
      <c r="K294" s="909"/>
      <c r="L294" s="207"/>
      <c r="M294" s="207"/>
      <c r="N294" s="207"/>
      <c r="O294" s="207"/>
      <c r="P294" s="679"/>
      <c r="Q294" s="679"/>
      <c r="R294" s="687"/>
      <c r="S294" s="674"/>
      <c r="T294" s="674"/>
      <c r="U294" s="674"/>
      <c r="V294" s="674"/>
      <c r="W294" s="674"/>
      <c r="X294" s="674"/>
      <c r="Y294" s="674"/>
      <c r="Z294" s="674"/>
      <c r="AA294" s="674"/>
    </row>
    <row r="295" spans="1:27" x14ac:dyDescent="0.25">
      <c r="A295" s="207"/>
      <c r="B295" s="207"/>
      <c r="C295" s="208"/>
      <c r="D295" s="207"/>
      <c r="E295" s="207"/>
      <c r="F295" s="225"/>
      <c r="G295" s="225"/>
      <c r="H295" s="219"/>
      <c r="I295" s="209"/>
      <c r="J295" s="209"/>
      <c r="K295" s="219"/>
      <c r="L295" s="219"/>
      <c r="M295" s="219"/>
      <c r="N295" s="207"/>
      <c r="O295" s="214"/>
      <c r="P295" s="679"/>
      <c r="Q295" s="679"/>
      <c r="R295" s="687"/>
      <c r="S295" s="674"/>
      <c r="T295" s="674"/>
      <c r="U295" s="674"/>
      <c r="V295" s="674"/>
      <c r="W295" s="674"/>
      <c r="X295" s="674"/>
      <c r="Y295" s="674"/>
      <c r="Z295" s="674"/>
      <c r="AA295" s="674"/>
    </row>
    <row r="296" spans="1:27" x14ac:dyDescent="0.25">
      <c r="A296" s="100"/>
      <c r="B296" s="256" t="s">
        <v>209</v>
      </c>
      <c r="C296" s="830" t="s">
        <v>149</v>
      </c>
      <c r="D296" s="832"/>
      <c r="E296" s="832"/>
      <c r="F296" s="926"/>
      <c r="G296" s="101" t="s">
        <v>109</v>
      </c>
      <c r="H296" s="927"/>
      <c r="I296" s="928"/>
      <c r="J296" s="256" t="s">
        <v>209</v>
      </c>
      <c r="K296" s="102" t="s">
        <v>150</v>
      </c>
      <c r="L296" s="103"/>
      <c r="M296" s="103"/>
      <c r="N296" s="104"/>
      <c r="O296" s="84" t="s">
        <v>109</v>
      </c>
      <c r="P296" s="680" t="s">
        <v>151</v>
      </c>
      <c r="Q296" s="679"/>
      <c r="R296" s="687"/>
      <c r="S296" s="674"/>
      <c r="T296" s="674"/>
      <c r="U296" s="674"/>
      <c r="V296" s="674"/>
      <c r="W296" s="674"/>
      <c r="X296" s="674"/>
      <c r="Y296" s="674"/>
      <c r="Z296" s="674"/>
      <c r="AA296" s="674"/>
    </row>
    <row r="297" spans="1:27" x14ac:dyDescent="0.25">
      <c r="A297" s="105"/>
      <c r="B297" s="108" t="s">
        <v>211</v>
      </c>
      <c r="C297" s="106" t="s">
        <v>22</v>
      </c>
      <c r="D297" s="80"/>
      <c r="E297" s="80" t="s">
        <v>234</v>
      </c>
      <c r="F297" s="107"/>
      <c r="G297" s="80" t="s">
        <v>110</v>
      </c>
      <c r="H297" s="929"/>
      <c r="I297" s="930"/>
      <c r="J297" s="108" t="s">
        <v>211</v>
      </c>
      <c r="K297" s="108" t="str">
        <f>C297</f>
        <v>Salaries</v>
      </c>
      <c r="L297" s="80"/>
      <c r="M297" s="80" t="s">
        <v>228</v>
      </c>
      <c r="N297" s="107"/>
      <c r="O297" s="80" t="s">
        <v>110</v>
      </c>
      <c r="P297" s="681" t="str">
        <f>$P$80</f>
        <v>Year or</v>
      </c>
      <c r="Q297" s="679"/>
      <c r="R297" s="687"/>
      <c r="S297" s="674"/>
      <c r="T297" s="674"/>
      <c r="U297" s="674"/>
      <c r="V297" s="674"/>
      <c r="W297" s="674"/>
      <c r="X297" s="674"/>
      <c r="Y297" s="674"/>
      <c r="Z297" s="674"/>
      <c r="AA297" s="674"/>
    </row>
    <row r="298" spans="1:27" x14ac:dyDescent="0.25">
      <c r="A298" s="109" t="s">
        <v>32</v>
      </c>
      <c r="B298" s="109" t="s">
        <v>224</v>
      </c>
      <c r="C298" s="110" t="s">
        <v>34</v>
      </c>
      <c r="D298" s="111" t="s">
        <v>30</v>
      </c>
      <c r="E298" s="111" t="s">
        <v>229</v>
      </c>
      <c r="F298" s="112" t="s">
        <v>46</v>
      </c>
      <c r="G298" s="113" t="s">
        <v>33</v>
      </c>
      <c r="H298" s="929" t="s">
        <v>32</v>
      </c>
      <c r="I298" s="930"/>
      <c r="J298" s="109" t="s">
        <v>224</v>
      </c>
      <c r="K298" s="129" t="str">
        <f>C298</f>
        <v>Requested</v>
      </c>
      <c r="L298" s="111" t="str">
        <f>D298</f>
        <v>Benefits</v>
      </c>
      <c r="M298" s="111" t="s">
        <v>229</v>
      </c>
      <c r="N298" s="112" t="str">
        <f>F298</f>
        <v>Totals</v>
      </c>
      <c r="O298" s="113" t="s">
        <v>33</v>
      </c>
      <c r="P298" s="682" t="str">
        <f>$P$81</f>
        <v>Portion of</v>
      </c>
      <c r="Q298" s="679"/>
      <c r="R298" s="687"/>
      <c r="S298" s="674"/>
      <c r="T298" s="674"/>
      <c r="U298" s="674"/>
      <c r="V298" s="674"/>
      <c r="W298" s="679"/>
      <c r="X298" s="679"/>
      <c r="Y298" s="674"/>
      <c r="Z298" s="674"/>
      <c r="AA298" s="674"/>
    </row>
    <row r="299" spans="1:27" x14ac:dyDescent="0.25">
      <c r="A299" s="114" t="str">
        <f t="shared" ref="A299:A338" si="51">IF(A23=0,"",A23)</f>
        <v/>
      </c>
      <c r="B299" s="130" t="str">
        <f t="shared" ref="B299:B338" si="52">IFERROR(IF(ROUND(IF(totalyrs&gt;7,((F23*(1+$K$15)^7)),0),0)=0,"",ROUND(IF(totalyrs&gt;7,((F23*(1+$K$15)^7)),0),0)),"")</f>
        <v/>
      </c>
      <c r="C299" s="130" t="str">
        <f>IFERROR(IF(ROUND(IF(totalyrs&gt;7,IF('Salary Detail'!$F$18="X",(IF(F23*(1+$K$15)^7&gt; MAXSAL,(MAXSAL*G299),(F23*G299*yr8percent*(1+$K$15)^7))),(F23*G299*yr8percent*(1+$K$15)^7)),0),0)=0,"",ROUND(IF(totalyrs&gt;7,IF('Salary Detail'!$F$18="X",(IF(F23*(1+$K$15)^7&gt; MAXSAL,(MAXSAL*G299),(F23*G299*yr8percent*(1+$K$15)^7))),(F23*G299*yr8percent*(1+$K$15)^7)),0),0)),"")</f>
        <v/>
      </c>
      <c r="D299" s="115" t="str">
        <f>IFERROR(IF(C299*0.26=0,"",C299*0.35),"")</f>
        <v/>
      </c>
      <c r="E299" s="266" t="str">
        <f t="shared" ref="E299:E338" si="53">IFERROR(IF(SUM(G299*12)=0,"",SUM(G299*12)),"")</f>
        <v/>
      </c>
      <c r="F299" s="116" t="str">
        <f t="shared" ref="F299:F338" si="54">IFERROR(IF(C299+D299=0,"",C299+D299),"")</f>
        <v/>
      </c>
      <c r="G299" s="183" t="str">
        <f t="shared" ref="G299:G338" si="55">IF(IF(totalyrs&gt;1,(O227),0)=0,"",IF(totalyrs&gt;1,(O227),0))</f>
        <v/>
      </c>
      <c r="H299" s="910" t="str">
        <f t="shared" ref="H299:H338" si="56">IF(A23=0,"",A23)</f>
        <v/>
      </c>
      <c r="I299" s="939"/>
      <c r="J299" s="271" t="str">
        <f t="shared" ref="J299:J338" si="57">IFERROR(IF(ROUND(IF(totalyrs&gt;8,((F23*(1+$K$15)^8)),0),0)=0,"",ROUND(IF(totalyrs&gt;8,((F23*(1+$K$15)^8)),0),0)),"")</f>
        <v/>
      </c>
      <c r="K299" s="131" t="str">
        <f>IFERROR(IF(ROUND(IF(totalyrs&gt;8,IF('Salary Detail'!$F$18="X",(IF(F23*(1+$K$15)^8&gt; MAXSAL,(MAXSAL*O299),(F23*O299*yr9percent*(1+$K$15)^8))),(F23*O299*yr9percent*(1+$K$15)^8)),0),0)=0,"",ROUND(IF(totalyrs&gt;8,IF('Salary Detail'!$F$18="X",(IF(F23*(1+$K$15)^8&gt; MAXSAL,(MAXSAL*O299),(F23*O299*yr9percent*(1+$K$15)^8))),(F23*O299*yr9percent*(1+$K$15)^8)),0),0)),"")</f>
        <v/>
      </c>
      <c r="L299" s="115" t="str">
        <f>IFERROR(IF(K299*0.26=0,"",K299*0.35),"")</f>
        <v/>
      </c>
      <c r="M299" s="266" t="str">
        <f t="shared" ref="M299:M338" si="58">IFERROR(IF(SUM(O299*12)=0,"",SUM(O299*12)),"")</f>
        <v/>
      </c>
      <c r="N299" s="118" t="str">
        <f t="shared" ref="N299:N338" si="59">IFERROR(IF(K299+L299=0,"",K299+L299),"")</f>
        <v/>
      </c>
      <c r="O299" s="185" t="str">
        <f t="shared" ref="O299:O338" si="60">IF(IF(totalyrs&gt;1,(G299),0)=0,"",IF(totalyrs&gt;1,(G299),0))</f>
        <v/>
      </c>
      <c r="P299" s="682" t="str">
        <f>$P$82</f>
        <v>a Year</v>
      </c>
      <c r="Q299" s="679"/>
      <c r="R299" s="674"/>
      <c r="S299" s="674"/>
      <c r="T299" s="674"/>
      <c r="U299" s="674"/>
      <c r="V299" s="674"/>
      <c r="W299" s="679"/>
      <c r="X299" s="679"/>
      <c r="Y299" s="674"/>
      <c r="Z299" s="674"/>
      <c r="AA299" s="674"/>
    </row>
    <row r="300" spans="1:27" x14ac:dyDescent="0.25">
      <c r="A300" s="114" t="str">
        <f t="shared" si="51"/>
        <v/>
      </c>
      <c r="B300" s="130" t="str">
        <f t="shared" si="52"/>
        <v/>
      </c>
      <c r="C300" s="130" t="str">
        <f>IFERROR(IF(ROUND(IF(totalyrs&gt;7,IF('Salary Detail'!$F$18="X",(IF(F24*(1+$K$15)^7&gt; MAXSAL,(MAXSAL*G300),(F24*G300*yr8percent*(1+$K$15)^7))),(F24*G300*yr8percent*(1+$K$15)^7)),0),0)=0,"",ROUND(IF(totalyrs&gt;7,IF('Salary Detail'!$F$18="X",(IF(F24*(1+$K$15)^7&gt; MAXSAL,(MAXSAL*G300),(F24*G300*yr8percent*(1+$K$15)^7))),(F24*G300*yr8percent*(1+$K$15)^7)),0),0)),"")</f>
        <v/>
      </c>
      <c r="D300" s="115" t="str">
        <f t="shared" ref="D300:D338" si="61">IFERROR(IF(C300*0.26=0,"",C300*0.35),"")</f>
        <v/>
      </c>
      <c r="E300" s="266" t="str">
        <f t="shared" si="53"/>
        <v/>
      </c>
      <c r="F300" s="116" t="str">
        <f t="shared" si="54"/>
        <v/>
      </c>
      <c r="G300" s="183" t="str">
        <f t="shared" si="55"/>
        <v/>
      </c>
      <c r="H300" s="910" t="str">
        <f t="shared" si="56"/>
        <v/>
      </c>
      <c r="I300" s="939"/>
      <c r="J300" s="271" t="str">
        <f t="shared" si="57"/>
        <v/>
      </c>
      <c r="K300" s="131" t="str">
        <f>IFERROR(IF(ROUND(IF(totalyrs&gt;8,IF('Salary Detail'!$F$18="X",(IF(F24*(1+$K$15)^8&gt; MAXSAL,(MAXSAL*O300),(F24*O300*yr9percent*(1+$K$15)^8))),(F24*O300*yr9percent*(1+$K$15)^8)),0),0)=0,"",ROUND(IF(totalyrs&gt;8,IF('Salary Detail'!$F$18="X",(IF(F24*(1+$K$15)^8&gt; MAXSAL,(MAXSAL*O300),(F24*O300*yr9percent*(1+$K$15)^8))),(F24*O300*yr9percent*(1+$K$15)^8)),0),0)),"")</f>
        <v/>
      </c>
      <c r="L300" s="115" t="str">
        <f t="shared" ref="L300:L338" si="62">IFERROR(IF(K300*0.26=0,"",K300*0.35),"")</f>
        <v/>
      </c>
      <c r="M300" s="266" t="str">
        <f t="shared" si="58"/>
        <v/>
      </c>
      <c r="N300" s="118" t="str">
        <f t="shared" si="59"/>
        <v/>
      </c>
      <c r="O300" s="185" t="str">
        <f t="shared" si="60"/>
        <v/>
      </c>
      <c r="P300" s="683">
        <f>IF(AND(totalyrs&gt;7,totalyrs&lt;8),totalyrs-7,1)</f>
        <v>1</v>
      </c>
      <c r="Q300" s="692" t="s">
        <v>152</v>
      </c>
      <c r="R300" s="674"/>
      <c r="S300" s="674"/>
      <c r="T300" s="674"/>
      <c r="U300" s="674"/>
      <c r="V300" s="674"/>
      <c r="W300" s="679"/>
      <c r="X300" s="679"/>
      <c r="Y300" s="674"/>
      <c r="Z300" s="674"/>
      <c r="AA300" s="674"/>
    </row>
    <row r="301" spans="1:27" x14ac:dyDescent="0.25">
      <c r="A301" s="114" t="str">
        <f t="shared" si="51"/>
        <v/>
      </c>
      <c r="B301" s="130" t="str">
        <f t="shared" si="52"/>
        <v/>
      </c>
      <c r="C301" s="130" t="str">
        <f>IFERROR(IF(ROUND(IF(totalyrs&gt;7,IF('Salary Detail'!$F$18="X",(IF(F25*(1+$K$15)^7&gt; MAXSAL,(MAXSAL*G301),(F25*G301*yr8percent*(1+$K$15)^7))),(F25*G301*yr8percent*(1+$K$15)^7)),0),0)=0,"",ROUND(IF(totalyrs&gt;7,IF('Salary Detail'!$F$18="X",(IF(F25*(1+$K$15)^7&gt; MAXSAL,(MAXSAL*G301),(F25*G301*yr8percent*(1+$K$15)^7))),(F25*G301*yr8percent*(1+$K$15)^7)),0),0)),"")</f>
        <v/>
      </c>
      <c r="D301" s="115" t="str">
        <f t="shared" si="61"/>
        <v/>
      </c>
      <c r="E301" s="266" t="str">
        <f t="shared" si="53"/>
        <v/>
      </c>
      <c r="F301" s="116" t="str">
        <f t="shared" si="54"/>
        <v/>
      </c>
      <c r="G301" s="183" t="str">
        <f t="shared" si="55"/>
        <v/>
      </c>
      <c r="H301" s="910" t="str">
        <f t="shared" si="56"/>
        <v/>
      </c>
      <c r="I301" s="939"/>
      <c r="J301" s="271" t="str">
        <f t="shared" si="57"/>
        <v/>
      </c>
      <c r="K301" s="131" t="str">
        <f>IFERROR(IF(ROUND(IF(totalyrs&gt;8,IF('Salary Detail'!$F$18="X",(IF(F25*(1+$K$15)^8&gt; MAXSAL,(MAXSAL*O301),(F25*O301*yr9percent*(1+$K$15)^8))),(F25*O301*yr9percent*(1+$K$15)^8)),0),0)=0,"",ROUND(IF(totalyrs&gt;8,IF('Salary Detail'!$F$18="X",(IF(F25*(1+$K$15)^8&gt; MAXSAL,(MAXSAL*O301),(F25*O301*yr9percent*(1+$K$15)^8))),(F25*O301*yr9percent*(1+$K$15)^8)),0),0)),"")</f>
        <v/>
      </c>
      <c r="L301" s="115" t="str">
        <f t="shared" si="62"/>
        <v/>
      </c>
      <c r="M301" s="266" t="str">
        <f t="shared" si="58"/>
        <v/>
      </c>
      <c r="N301" s="118" t="str">
        <f t="shared" si="59"/>
        <v/>
      </c>
      <c r="O301" s="185" t="str">
        <f t="shared" si="60"/>
        <v/>
      </c>
      <c r="P301" s="683">
        <f>IF(AND(totalyrs&gt;8,totalyrs&lt;9),totalyrs-8,1)</f>
        <v>1</v>
      </c>
      <c r="Q301" s="684" t="s">
        <v>153</v>
      </c>
      <c r="R301" s="674"/>
      <c r="S301" s="674"/>
      <c r="T301" s="674"/>
      <c r="U301" s="674"/>
      <c r="V301" s="674"/>
      <c r="W301" s="679"/>
      <c r="X301" s="679"/>
      <c r="Y301" s="674"/>
      <c r="Z301" s="674"/>
      <c r="AA301" s="674"/>
    </row>
    <row r="302" spans="1:27" x14ac:dyDescent="0.25">
      <c r="A302" s="114" t="str">
        <f t="shared" si="51"/>
        <v/>
      </c>
      <c r="B302" s="130" t="str">
        <f t="shared" si="52"/>
        <v/>
      </c>
      <c r="C302" s="130" t="str">
        <f>IFERROR(IF(ROUND(IF(totalyrs&gt;7,IF('Salary Detail'!$F$18="X",(IF(F26*(1+$K$15)^7&gt; MAXSAL,(MAXSAL*G302),(F26*G302*yr8percent*(1+$K$15)^7))),(F26*G302*yr8percent*(1+$K$15)^7)),0),0)=0,"",ROUND(IF(totalyrs&gt;7,IF('Salary Detail'!$F$18="X",(IF(F26*(1+$K$15)^7&gt; MAXSAL,(MAXSAL*G302),(F26*G302*yr8percent*(1+$K$15)^7))),(F26*G302*yr8percent*(1+$K$15)^7)),0),0)),"")</f>
        <v/>
      </c>
      <c r="D302" s="115" t="str">
        <f t="shared" si="61"/>
        <v/>
      </c>
      <c r="E302" s="266" t="str">
        <f t="shared" si="53"/>
        <v/>
      </c>
      <c r="F302" s="116" t="str">
        <f t="shared" si="54"/>
        <v/>
      </c>
      <c r="G302" s="183" t="str">
        <f t="shared" si="55"/>
        <v/>
      </c>
      <c r="H302" s="910" t="str">
        <f t="shared" si="56"/>
        <v/>
      </c>
      <c r="I302" s="939"/>
      <c r="J302" s="271" t="str">
        <f t="shared" si="57"/>
        <v/>
      </c>
      <c r="K302" s="131" t="str">
        <f>IFERROR(IF(ROUND(IF(totalyrs&gt;8,IF('Salary Detail'!$F$18="X",(IF(F26*(1+$K$15)^8&gt; MAXSAL,(MAXSAL*O302),(F26*O302*yr9percent*(1+$K$15)^8))),(F26*O302*yr9percent*(1+$K$15)^8)),0),0)=0,"",ROUND(IF(totalyrs&gt;8,IF('Salary Detail'!$F$18="X",(IF(F26*(1+$K$15)^8&gt; MAXSAL,(MAXSAL*O302),(F26*O302*yr9percent*(1+$K$15)^8))),(F26*O302*yr9percent*(1+$K$15)^8)),0),0)),"")</f>
        <v/>
      </c>
      <c r="L302" s="115" t="str">
        <f t="shared" si="62"/>
        <v/>
      </c>
      <c r="M302" s="266" t="str">
        <f t="shared" si="58"/>
        <v/>
      </c>
      <c r="N302" s="118" t="str">
        <f t="shared" si="59"/>
        <v/>
      </c>
      <c r="O302" s="185" t="str">
        <f t="shared" si="60"/>
        <v/>
      </c>
      <c r="P302" s="682"/>
      <c r="Q302" s="679"/>
      <c r="R302" s="674"/>
      <c r="S302" s="674"/>
      <c r="T302" s="674"/>
      <c r="U302" s="674"/>
      <c r="V302" s="674"/>
      <c r="W302" s="679"/>
      <c r="X302" s="679"/>
      <c r="Y302" s="674"/>
      <c r="Z302" s="674"/>
      <c r="AA302" s="674"/>
    </row>
    <row r="303" spans="1:27" x14ac:dyDescent="0.25">
      <c r="A303" s="114" t="str">
        <f t="shared" si="51"/>
        <v/>
      </c>
      <c r="B303" s="130" t="str">
        <f t="shared" si="52"/>
        <v/>
      </c>
      <c r="C303" s="130" t="str">
        <f>IFERROR(IF(ROUND(IF(totalyrs&gt;7,IF('Salary Detail'!$F$18="X",(IF(F27*(1+$K$15)^7&gt; MAXSAL,(MAXSAL*G303),(F27*G303*yr8percent*(1+$K$15)^7))),(F27*G303*yr8percent*(1+$K$15)^7)),0),0)=0,"",ROUND(IF(totalyrs&gt;7,IF('Salary Detail'!$F$18="X",(IF(F27*(1+$K$15)^7&gt; MAXSAL,(MAXSAL*G303),(F27*G303*yr8percent*(1+$K$15)^7))),(F27*G303*yr8percent*(1+$K$15)^7)),0),0)),"")</f>
        <v/>
      </c>
      <c r="D303" s="115" t="str">
        <f t="shared" si="61"/>
        <v/>
      </c>
      <c r="E303" s="266" t="str">
        <f t="shared" si="53"/>
        <v/>
      </c>
      <c r="F303" s="116" t="str">
        <f t="shared" si="54"/>
        <v/>
      </c>
      <c r="G303" s="183" t="str">
        <f t="shared" si="55"/>
        <v/>
      </c>
      <c r="H303" s="910" t="str">
        <f t="shared" si="56"/>
        <v/>
      </c>
      <c r="I303" s="939"/>
      <c r="J303" s="271" t="str">
        <f t="shared" si="57"/>
        <v/>
      </c>
      <c r="K303" s="131" t="str">
        <f>IFERROR(IF(ROUND(IF(totalyrs&gt;8,IF('Salary Detail'!$F$18="X",(IF(F27*(1+$K$15)^8&gt; MAXSAL,(MAXSAL*O303),(F27*O303*yr9percent*(1+$K$15)^8))),(F27*O303*yr9percent*(1+$K$15)^8)),0),0)=0,"",ROUND(IF(totalyrs&gt;8,IF('Salary Detail'!$F$18="X",(IF(F27*(1+$K$15)^8&gt; MAXSAL,(MAXSAL*O303),(F27*O303*yr9percent*(1+$K$15)^8))),(F27*O303*yr9percent*(1+$K$15)^8)),0),0)),"")</f>
        <v/>
      </c>
      <c r="L303" s="115" t="str">
        <f t="shared" si="62"/>
        <v/>
      </c>
      <c r="M303" s="266" t="str">
        <f t="shared" si="58"/>
        <v/>
      </c>
      <c r="N303" s="118" t="str">
        <f t="shared" si="59"/>
        <v/>
      </c>
      <c r="O303" s="185" t="str">
        <f t="shared" si="60"/>
        <v/>
      </c>
      <c r="P303" s="682"/>
      <c r="Q303" s="679"/>
      <c r="R303" s="674"/>
      <c r="S303" s="674"/>
      <c r="T303" s="674"/>
      <c r="U303" s="674"/>
      <c r="V303" s="674"/>
      <c r="W303" s="679"/>
      <c r="X303" s="679"/>
      <c r="Y303" s="674"/>
      <c r="Z303" s="674"/>
      <c r="AA303" s="674"/>
    </row>
    <row r="304" spans="1:27" x14ac:dyDescent="0.25">
      <c r="A304" s="114" t="str">
        <f t="shared" si="51"/>
        <v/>
      </c>
      <c r="B304" s="130" t="str">
        <f t="shared" si="52"/>
        <v/>
      </c>
      <c r="C304" s="130" t="str">
        <f>IFERROR(IF(ROUND(IF(totalyrs&gt;7,IF('Salary Detail'!$F$18="X",(IF(F28*(1+$K$15)^7&gt; MAXSAL,(MAXSAL*G304),(F28*G304*yr8percent*(1+$K$15)^7))),(F28*G304*yr8percent*(1+$K$15)^7)),0),0)=0,"",ROUND(IF(totalyrs&gt;7,IF('Salary Detail'!$F$18="X",(IF(F28*(1+$K$15)^7&gt; MAXSAL,(MAXSAL*G304),(F28*G304*yr8percent*(1+$K$15)^7))),(F28*G304*yr8percent*(1+$K$15)^7)),0),0)),"")</f>
        <v/>
      </c>
      <c r="D304" s="115" t="str">
        <f t="shared" si="61"/>
        <v/>
      </c>
      <c r="E304" s="266" t="str">
        <f t="shared" si="53"/>
        <v/>
      </c>
      <c r="F304" s="116" t="str">
        <f t="shared" si="54"/>
        <v/>
      </c>
      <c r="G304" s="183" t="str">
        <f t="shared" si="55"/>
        <v/>
      </c>
      <c r="H304" s="910" t="str">
        <f t="shared" si="56"/>
        <v/>
      </c>
      <c r="I304" s="939"/>
      <c r="J304" s="271" t="str">
        <f t="shared" si="57"/>
        <v/>
      </c>
      <c r="K304" s="131" t="str">
        <f>IFERROR(IF(ROUND(IF(totalyrs&gt;8,IF('Salary Detail'!$F$18="X",(IF(F28*(1+$K$15)^8&gt; MAXSAL,(MAXSAL*O304),(F28*O304*yr9percent*(1+$K$15)^8))),(F28*O304*yr9percent*(1+$K$15)^8)),0),0)=0,"",ROUND(IF(totalyrs&gt;8,IF('Salary Detail'!$F$18="X",(IF(F28*(1+$K$15)^8&gt; MAXSAL,(MAXSAL*O304),(F28*O304*yr9percent*(1+$K$15)^8))),(F28*O304*yr9percent*(1+$K$15)^8)),0),0)),"")</f>
        <v/>
      </c>
      <c r="L304" s="115" t="str">
        <f t="shared" si="62"/>
        <v/>
      </c>
      <c r="M304" s="266" t="str">
        <f t="shared" si="58"/>
        <v/>
      </c>
      <c r="N304" s="118" t="str">
        <f t="shared" si="59"/>
        <v/>
      </c>
      <c r="O304" s="185" t="str">
        <f t="shared" si="60"/>
        <v/>
      </c>
      <c r="P304" s="682"/>
      <c r="Q304" s="679"/>
      <c r="R304" s="674"/>
      <c r="S304" s="674"/>
      <c r="T304" s="674"/>
      <c r="U304" s="674"/>
      <c r="V304" s="674"/>
      <c r="W304" s="679"/>
      <c r="X304" s="679"/>
      <c r="Y304" s="674"/>
      <c r="Z304" s="674"/>
      <c r="AA304" s="674"/>
    </row>
    <row r="305" spans="1:27" x14ac:dyDescent="0.25">
      <c r="A305" s="114" t="str">
        <f t="shared" si="51"/>
        <v/>
      </c>
      <c r="B305" s="130" t="str">
        <f t="shared" si="52"/>
        <v/>
      </c>
      <c r="C305" s="130" t="str">
        <f>IFERROR(IF(ROUND(IF(totalyrs&gt;7,IF('Salary Detail'!$F$18="X",(IF(F29*(1+$K$15)^7&gt; MAXSAL,(MAXSAL*G305),(F29*G305*yr8percent*(1+$K$15)^7))),(F29*G305*yr8percent*(1+$K$15)^7)),0),0)=0,"",ROUND(IF(totalyrs&gt;7,IF('Salary Detail'!$F$18="X",(IF(F29*(1+$K$15)^7&gt; MAXSAL,(MAXSAL*G305),(F29*G305*yr8percent*(1+$K$15)^7))),(F29*G305*yr8percent*(1+$K$15)^7)),0),0)),"")</f>
        <v/>
      </c>
      <c r="D305" s="115" t="str">
        <f t="shared" si="61"/>
        <v/>
      </c>
      <c r="E305" s="266" t="str">
        <f t="shared" si="53"/>
        <v/>
      </c>
      <c r="F305" s="116" t="str">
        <f t="shared" si="54"/>
        <v/>
      </c>
      <c r="G305" s="183" t="str">
        <f t="shared" si="55"/>
        <v/>
      </c>
      <c r="H305" s="910" t="str">
        <f t="shared" si="56"/>
        <v/>
      </c>
      <c r="I305" s="939"/>
      <c r="J305" s="271" t="str">
        <f t="shared" si="57"/>
        <v/>
      </c>
      <c r="K305" s="131" t="str">
        <f>IFERROR(IF(ROUND(IF(totalyrs&gt;8,IF('Salary Detail'!$F$18="X",(IF(F29*(1+$K$15)^8&gt; MAXSAL,(MAXSAL*O305),(F29*O305*yr9percent*(1+$K$15)^8))),(F29*O305*yr9percent*(1+$K$15)^8)),0),0)=0,"",ROUND(IF(totalyrs&gt;8,IF('Salary Detail'!$F$18="X",(IF(F29*(1+$K$15)^8&gt; MAXSAL,(MAXSAL*O305),(F29*O305*yr9percent*(1+$K$15)^8))),(F29*O305*yr9percent*(1+$K$15)^8)),0),0)),"")</f>
        <v/>
      </c>
      <c r="L305" s="115" t="str">
        <f t="shared" si="62"/>
        <v/>
      </c>
      <c r="M305" s="266" t="str">
        <f t="shared" si="58"/>
        <v/>
      </c>
      <c r="N305" s="118" t="str">
        <f t="shared" si="59"/>
        <v/>
      </c>
      <c r="O305" s="185" t="str">
        <f t="shared" si="60"/>
        <v/>
      </c>
      <c r="P305" s="682"/>
      <c r="Q305" s="679"/>
      <c r="R305" s="674"/>
      <c r="S305" s="674"/>
      <c r="T305" s="674"/>
      <c r="U305" s="674"/>
      <c r="V305" s="674"/>
      <c r="W305" s="679"/>
      <c r="X305" s="679"/>
      <c r="Y305" s="674"/>
      <c r="Z305" s="674"/>
      <c r="AA305" s="674"/>
    </row>
    <row r="306" spans="1:27" x14ac:dyDescent="0.25">
      <c r="A306" s="114" t="str">
        <f t="shared" si="51"/>
        <v/>
      </c>
      <c r="B306" s="130" t="str">
        <f t="shared" si="52"/>
        <v/>
      </c>
      <c r="C306" s="130" t="str">
        <f>IFERROR(IF(ROUND(IF(totalyrs&gt;7,IF('Salary Detail'!$F$18="X",(IF(F30*(1+$K$15)^7&gt; MAXSAL,(MAXSAL*G306),(F30*G306*yr8percent*(1+$K$15)^7))),(F30*G306*yr8percent*(1+$K$15)^7)),0),0)=0,"",ROUND(IF(totalyrs&gt;7,IF('Salary Detail'!$F$18="X",(IF(F30*(1+$K$15)^7&gt; MAXSAL,(MAXSAL*G306),(F30*G306*yr8percent*(1+$K$15)^7))),(F30*G306*yr8percent*(1+$K$15)^7)),0),0)),"")</f>
        <v/>
      </c>
      <c r="D306" s="115" t="str">
        <f t="shared" si="61"/>
        <v/>
      </c>
      <c r="E306" s="266" t="str">
        <f t="shared" si="53"/>
        <v/>
      </c>
      <c r="F306" s="116" t="str">
        <f t="shared" si="54"/>
        <v/>
      </c>
      <c r="G306" s="183" t="str">
        <f t="shared" si="55"/>
        <v/>
      </c>
      <c r="H306" s="910" t="str">
        <f t="shared" si="56"/>
        <v/>
      </c>
      <c r="I306" s="939"/>
      <c r="J306" s="271" t="str">
        <f t="shared" si="57"/>
        <v/>
      </c>
      <c r="K306" s="131" t="str">
        <f>IFERROR(IF(ROUND(IF(totalyrs&gt;8,IF('Salary Detail'!$F$18="X",(IF(F30*(1+$K$15)^8&gt; MAXSAL,(MAXSAL*O306),(F30*O306*yr9percent*(1+$K$15)^8))),(F30*O306*yr9percent*(1+$K$15)^8)),0),0)=0,"",ROUND(IF(totalyrs&gt;8,IF('Salary Detail'!$F$18="X",(IF(F30*(1+$K$15)^8&gt; MAXSAL,(MAXSAL*O306),(F30*O306*yr9percent*(1+$K$15)^8))),(F30*O306*yr9percent*(1+$K$15)^8)),0),0)),"")</f>
        <v/>
      </c>
      <c r="L306" s="115" t="str">
        <f t="shared" si="62"/>
        <v/>
      </c>
      <c r="M306" s="266" t="str">
        <f t="shared" si="58"/>
        <v/>
      </c>
      <c r="N306" s="118" t="str">
        <f t="shared" si="59"/>
        <v/>
      </c>
      <c r="O306" s="185" t="str">
        <f t="shared" si="60"/>
        <v/>
      </c>
      <c r="P306" s="682"/>
      <c r="Q306" s="679"/>
      <c r="R306" s="674"/>
      <c r="S306" s="674"/>
      <c r="T306" s="674"/>
      <c r="U306" s="674"/>
      <c r="V306" s="674"/>
      <c r="W306" s="679"/>
      <c r="X306" s="679"/>
      <c r="Y306" s="674"/>
      <c r="Z306" s="674"/>
      <c r="AA306" s="674"/>
    </row>
    <row r="307" spans="1:27" x14ac:dyDescent="0.25">
      <c r="A307" s="114" t="str">
        <f t="shared" si="51"/>
        <v/>
      </c>
      <c r="B307" s="130" t="str">
        <f t="shared" si="52"/>
        <v/>
      </c>
      <c r="C307" s="130" t="str">
        <f>IFERROR(IF(ROUND(IF(totalyrs&gt;7,IF('Salary Detail'!$F$18="X",(IF(F31*(1+$K$15)^7&gt; MAXSAL,(MAXSAL*G307),(F31*G307*yr8percent*(1+$K$15)^7))),(F31*G307*yr8percent*(1+$K$15)^7)),0),0)=0,"",ROUND(IF(totalyrs&gt;7,IF('Salary Detail'!$F$18="X",(IF(F31*(1+$K$15)^7&gt; MAXSAL,(MAXSAL*G307),(F31*G307*yr8percent*(1+$K$15)^7))),(F31*G307*yr8percent*(1+$K$15)^7)),0),0)),"")</f>
        <v/>
      </c>
      <c r="D307" s="115" t="str">
        <f t="shared" si="61"/>
        <v/>
      </c>
      <c r="E307" s="266" t="str">
        <f t="shared" si="53"/>
        <v/>
      </c>
      <c r="F307" s="116" t="str">
        <f t="shared" si="54"/>
        <v/>
      </c>
      <c r="G307" s="183" t="str">
        <f t="shared" si="55"/>
        <v/>
      </c>
      <c r="H307" s="910" t="str">
        <f t="shared" si="56"/>
        <v/>
      </c>
      <c r="I307" s="939"/>
      <c r="J307" s="271" t="str">
        <f t="shared" si="57"/>
        <v/>
      </c>
      <c r="K307" s="131" t="str">
        <f>IFERROR(IF(ROUND(IF(totalyrs&gt;8,IF('Salary Detail'!$F$18="X",(IF(F31*(1+$K$15)^8&gt; MAXSAL,(MAXSAL*O307),(F31*O307*yr9percent*(1+$K$15)^8))),(F31*O307*yr9percent*(1+$K$15)^8)),0),0)=0,"",ROUND(IF(totalyrs&gt;8,IF('Salary Detail'!$F$18="X",(IF(F31*(1+$K$15)^8&gt; MAXSAL,(MAXSAL*O307),(F31*O307*yr9percent*(1+$K$15)^8))),(F31*O307*yr9percent*(1+$K$15)^8)),0),0)),"")</f>
        <v/>
      </c>
      <c r="L307" s="115" t="str">
        <f t="shared" si="62"/>
        <v/>
      </c>
      <c r="M307" s="266" t="str">
        <f t="shared" si="58"/>
        <v/>
      </c>
      <c r="N307" s="118" t="str">
        <f t="shared" si="59"/>
        <v/>
      </c>
      <c r="O307" s="185" t="str">
        <f t="shared" si="60"/>
        <v/>
      </c>
      <c r="P307" s="682"/>
      <c r="Q307" s="679"/>
      <c r="R307" s="674"/>
      <c r="S307" s="674"/>
      <c r="T307" s="674"/>
      <c r="U307" s="674"/>
      <c r="V307" s="674"/>
      <c r="W307" s="679"/>
      <c r="X307" s="679"/>
      <c r="Y307" s="674"/>
      <c r="Z307" s="674"/>
      <c r="AA307" s="674"/>
    </row>
    <row r="308" spans="1:27" x14ac:dyDescent="0.25">
      <c r="A308" s="114" t="str">
        <f t="shared" si="51"/>
        <v/>
      </c>
      <c r="B308" s="130" t="str">
        <f t="shared" si="52"/>
        <v/>
      </c>
      <c r="C308" s="130" t="str">
        <f>IFERROR(IF(ROUND(IF(totalyrs&gt;7,IF('Salary Detail'!$F$18="X",(IF(F32*(1+$K$15)^7&gt; MAXSAL,(MAXSAL*G308),(F32*G308*yr8percent*(1+$K$15)^7))),(F32*G308*yr8percent*(1+$K$15)^7)),0),0)=0,"",ROUND(IF(totalyrs&gt;7,IF('Salary Detail'!$F$18="X",(IF(F32*(1+$K$15)^7&gt; MAXSAL,(MAXSAL*G308),(F32*G308*yr8percent*(1+$K$15)^7))),(F32*G308*yr8percent*(1+$K$15)^7)),0),0)),"")</f>
        <v/>
      </c>
      <c r="D308" s="115" t="str">
        <f t="shared" si="61"/>
        <v/>
      </c>
      <c r="E308" s="266" t="str">
        <f t="shared" si="53"/>
        <v/>
      </c>
      <c r="F308" s="116" t="str">
        <f t="shared" si="54"/>
        <v/>
      </c>
      <c r="G308" s="183" t="str">
        <f t="shared" si="55"/>
        <v/>
      </c>
      <c r="H308" s="910" t="str">
        <f t="shared" si="56"/>
        <v/>
      </c>
      <c r="I308" s="939"/>
      <c r="J308" s="271" t="str">
        <f t="shared" si="57"/>
        <v/>
      </c>
      <c r="K308" s="131" t="str">
        <f>IFERROR(IF(ROUND(IF(totalyrs&gt;8,IF('Salary Detail'!$F$18="X",(IF(F32*(1+$K$15)^8&gt; MAXSAL,(MAXSAL*O308),(F32*O308*yr9percent*(1+$K$15)^8))),(F32*O308*yr9percent*(1+$K$15)^8)),0),0)=0,"",ROUND(IF(totalyrs&gt;8,IF('Salary Detail'!$F$18="X",(IF(F32*(1+$K$15)^8&gt; MAXSAL,(MAXSAL*O308),(F32*O308*yr9percent*(1+$K$15)^8))),(F32*O308*yr9percent*(1+$K$15)^8)),0),0)),"")</f>
        <v/>
      </c>
      <c r="L308" s="115" t="str">
        <f t="shared" si="62"/>
        <v/>
      </c>
      <c r="M308" s="266" t="str">
        <f t="shared" si="58"/>
        <v/>
      </c>
      <c r="N308" s="118" t="str">
        <f t="shared" si="59"/>
        <v/>
      </c>
      <c r="O308" s="185" t="str">
        <f t="shared" si="60"/>
        <v/>
      </c>
      <c r="P308" s="682"/>
      <c r="Q308" s="679"/>
      <c r="R308" s="674"/>
      <c r="S308" s="674"/>
      <c r="T308" s="674"/>
      <c r="U308" s="674"/>
      <c r="V308" s="674"/>
      <c r="W308" s="679"/>
      <c r="X308" s="679"/>
      <c r="Y308" s="674"/>
      <c r="Z308" s="674"/>
      <c r="AA308" s="674"/>
    </row>
    <row r="309" spans="1:27" x14ac:dyDescent="0.25">
      <c r="A309" s="114" t="str">
        <f t="shared" si="51"/>
        <v/>
      </c>
      <c r="B309" s="130" t="str">
        <f t="shared" si="52"/>
        <v/>
      </c>
      <c r="C309" s="130" t="str">
        <f>IFERROR(IF(ROUND(IF(totalyrs&gt;7,IF('Salary Detail'!$F$18="X",(IF(F33*(1+$K$15)^7&gt; MAXSAL,(MAXSAL*G309),(F33*G309*yr8percent*(1+$K$15)^7))),(F33*G309*yr8percent*(1+$K$15)^7)),0),0)=0,"",ROUND(IF(totalyrs&gt;7,IF('Salary Detail'!$F$18="X",(IF(F33*(1+$K$15)^7&gt; MAXSAL,(MAXSAL*G309),(F33*G309*yr8percent*(1+$K$15)^7))),(F33*G309*yr8percent*(1+$K$15)^7)),0),0)),"")</f>
        <v/>
      </c>
      <c r="D309" s="115" t="str">
        <f t="shared" si="61"/>
        <v/>
      </c>
      <c r="E309" s="266" t="str">
        <f t="shared" si="53"/>
        <v/>
      </c>
      <c r="F309" s="116" t="str">
        <f t="shared" si="54"/>
        <v/>
      </c>
      <c r="G309" s="183" t="str">
        <f t="shared" si="55"/>
        <v/>
      </c>
      <c r="H309" s="910" t="str">
        <f t="shared" si="56"/>
        <v/>
      </c>
      <c r="I309" s="939"/>
      <c r="J309" s="271" t="str">
        <f t="shared" si="57"/>
        <v/>
      </c>
      <c r="K309" s="131" t="str">
        <f>IFERROR(IF(ROUND(IF(totalyrs&gt;8,IF('Salary Detail'!$F$18="X",(IF(F33*(1+$K$15)^8&gt; MAXSAL,(MAXSAL*O309),(F33*O309*yr9percent*(1+$K$15)^8))),(F33*O309*yr9percent*(1+$K$15)^8)),0),0)=0,"",ROUND(IF(totalyrs&gt;8,IF('Salary Detail'!$F$18="X",(IF(F33*(1+$K$15)^8&gt; MAXSAL,(MAXSAL*O309),(F33*O309*yr9percent*(1+$K$15)^8))),(F33*O309*yr9percent*(1+$K$15)^8)),0),0)),"")</f>
        <v/>
      </c>
      <c r="L309" s="115" t="str">
        <f t="shared" si="62"/>
        <v/>
      </c>
      <c r="M309" s="266" t="str">
        <f t="shared" si="58"/>
        <v/>
      </c>
      <c r="N309" s="118" t="str">
        <f t="shared" si="59"/>
        <v/>
      </c>
      <c r="O309" s="185" t="str">
        <f t="shared" si="60"/>
        <v/>
      </c>
      <c r="P309" s="682"/>
      <c r="Q309" s="679"/>
      <c r="R309" s="674"/>
      <c r="S309" s="674"/>
      <c r="T309" s="674"/>
      <c r="U309" s="674"/>
      <c r="V309" s="674"/>
      <c r="W309" s="679"/>
      <c r="X309" s="679"/>
      <c r="Y309" s="674"/>
      <c r="Z309" s="674"/>
      <c r="AA309" s="674"/>
    </row>
    <row r="310" spans="1:27" x14ac:dyDescent="0.25">
      <c r="A310" s="114" t="str">
        <f t="shared" si="51"/>
        <v/>
      </c>
      <c r="B310" s="130" t="str">
        <f t="shared" si="52"/>
        <v/>
      </c>
      <c r="C310" s="130" t="str">
        <f>IFERROR(IF(ROUND(IF(totalyrs&gt;7,IF('Salary Detail'!$F$18="X",(IF(F34*(1+$K$15)^7&gt; MAXSAL,(MAXSAL*G310),(F34*G310*yr8percent*(1+$K$15)^7))),(F34*G310*yr8percent*(1+$K$15)^7)),0),0)=0,"",ROUND(IF(totalyrs&gt;7,IF('Salary Detail'!$F$18="X",(IF(F34*(1+$K$15)^7&gt; MAXSAL,(MAXSAL*G310),(F34*G310*yr8percent*(1+$K$15)^7))),(F34*G310*yr8percent*(1+$K$15)^7)),0),0)),"")</f>
        <v/>
      </c>
      <c r="D310" s="115" t="str">
        <f t="shared" si="61"/>
        <v/>
      </c>
      <c r="E310" s="266" t="str">
        <f t="shared" si="53"/>
        <v/>
      </c>
      <c r="F310" s="116" t="str">
        <f t="shared" si="54"/>
        <v/>
      </c>
      <c r="G310" s="183" t="str">
        <f t="shared" si="55"/>
        <v/>
      </c>
      <c r="H310" s="910" t="str">
        <f t="shared" si="56"/>
        <v/>
      </c>
      <c r="I310" s="939"/>
      <c r="J310" s="271" t="str">
        <f t="shared" si="57"/>
        <v/>
      </c>
      <c r="K310" s="131" t="str">
        <f>IFERROR(IF(ROUND(IF(totalyrs&gt;8,IF('Salary Detail'!$F$18="X",(IF(F34*(1+$K$15)^8&gt; MAXSAL,(MAXSAL*O310),(F34*O310*yr9percent*(1+$K$15)^8))),(F34*O310*yr9percent*(1+$K$15)^8)),0),0)=0,"",ROUND(IF(totalyrs&gt;8,IF('Salary Detail'!$F$18="X",(IF(F34*(1+$K$15)^8&gt; MAXSAL,(MAXSAL*O310),(F34*O310*yr9percent*(1+$K$15)^8))),(F34*O310*yr9percent*(1+$K$15)^8)),0),0)),"")</f>
        <v/>
      </c>
      <c r="L310" s="115" t="str">
        <f t="shared" si="62"/>
        <v/>
      </c>
      <c r="M310" s="266" t="str">
        <f t="shared" si="58"/>
        <v/>
      </c>
      <c r="N310" s="118" t="str">
        <f t="shared" si="59"/>
        <v/>
      </c>
      <c r="O310" s="185" t="str">
        <f t="shared" si="60"/>
        <v/>
      </c>
      <c r="P310" s="687"/>
      <c r="Q310" s="687"/>
      <c r="R310" s="674"/>
      <c r="S310" s="674"/>
      <c r="T310" s="674"/>
      <c r="U310" s="674"/>
      <c r="V310" s="674"/>
      <c r="W310" s="679"/>
      <c r="X310" s="679"/>
      <c r="Y310" s="674"/>
      <c r="Z310" s="674"/>
      <c r="AA310" s="674"/>
    </row>
    <row r="311" spans="1:27" x14ac:dyDescent="0.25">
      <c r="A311" s="114" t="str">
        <f t="shared" si="51"/>
        <v/>
      </c>
      <c r="B311" s="130" t="str">
        <f t="shared" si="52"/>
        <v/>
      </c>
      <c r="C311" s="130" t="str">
        <f>IFERROR(IF(ROUND(IF(totalyrs&gt;7,IF('Salary Detail'!$F$18="X",(IF(F35*(1+$K$15)^7&gt; MAXSAL,(MAXSAL*G311),(F35*G311*yr8percent*(1+$K$15)^7))),(F35*G311*yr8percent*(1+$K$15)^7)),0),0)=0,"",ROUND(IF(totalyrs&gt;7,IF('Salary Detail'!$F$18="X",(IF(F35*(1+$K$15)^7&gt; MAXSAL,(MAXSAL*G311),(F35*G311*yr8percent*(1+$K$15)^7))),(F35*G311*yr8percent*(1+$K$15)^7)),0),0)),"")</f>
        <v/>
      </c>
      <c r="D311" s="115" t="str">
        <f t="shared" si="61"/>
        <v/>
      </c>
      <c r="E311" s="266" t="str">
        <f t="shared" si="53"/>
        <v/>
      </c>
      <c r="F311" s="116" t="str">
        <f t="shared" si="54"/>
        <v/>
      </c>
      <c r="G311" s="183" t="str">
        <f t="shared" si="55"/>
        <v/>
      </c>
      <c r="H311" s="910" t="str">
        <f t="shared" si="56"/>
        <v/>
      </c>
      <c r="I311" s="939"/>
      <c r="J311" s="271" t="str">
        <f t="shared" si="57"/>
        <v/>
      </c>
      <c r="K311" s="131" t="str">
        <f>IFERROR(IF(ROUND(IF(totalyrs&gt;8,IF('Salary Detail'!$F$18="X",(IF(F35*(1+$K$15)^8&gt; MAXSAL,(MAXSAL*O311),(F35*O311*yr9percent*(1+$K$15)^8))),(F35*O311*yr9percent*(1+$K$15)^8)),0),0)=0,"",ROUND(IF(totalyrs&gt;8,IF('Salary Detail'!$F$18="X",(IF(F35*(1+$K$15)^8&gt; MAXSAL,(MAXSAL*O311),(F35*O311*yr9percent*(1+$K$15)^8))),(F35*O311*yr9percent*(1+$K$15)^8)),0),0)),"")</f>
        <v/>
      </c>
      <c r="L311" s="115" t="str">
        <f t="shared" si="62"/>
        <v/>
      </c>
      <c r="M311" s="266" t="str">
        <f t="shared" si="58"/>
        <v/>
      </c>
      <c r="N311" s="118" t="str">
        <f t="shared" si="59"/>
        <v/>
      </c>
      <c r="O311" s="185" t="str">
        <f t="shared" si="60"/>
        <v/>
      </c>
      <c r="P311" s="687"/>
      <c r="Q311" s="687"/>
      <c r="R311" s="674"/>
      <c r="S311" s="674"/>
      <c r="T311" s="674"/>
      <c r="U311" s="674"/>
      <c r="V311" s="674"/>
      <c r="W311" s="679"/>
      <c r="X311" s="679"/>
      <c r="Y311" s="674"/>
      <c r="Z311" s="674"/>
      <c r="AA311" s="674"/>
    </row>
    <row r="312" spans="1:27" x14ac:dyDescent="0.25">
      <c r="A312" s="114" t="str">
        <f t="shared" si="51"/>
        <v/>
      </c>
      <c r="B312" s="130" t="str">
        <f t="shared" si="52"/>
        <v/>
      </c>
      <c r="C312" s="130" t="str">
        <f>IFERROR(IF(ROUND(IF(totalyrs&gt;7,IF('Salary Detail'!$F$18="X",(IF(F36*(1+$K$15)^7&gt; MAXSAL,(MAXSAL*G312),(F36*G312*yr8percent*(1+$K$15)^7))),(F36*G312*yr8percent*(1+$K$15)^7)),0),0)=0,"",ROUND(IF(totalyrs&gt;7,IF('Salary Detail'!$F$18="X",(IF(F36*(1+$K$15)^7&gt; MAXSAL,(MAXSAL*G312),(F36*G312*yr8percent*(1+$K$15)^7))),(F36*G312*yr8percent*(1+$K$15)^7)),0),0)),"")</f>
        <v/>
      </c>
      <c r="D312" s="115" t="str">
        <f t="shared" si="61"/>
        <v/>
      </c>
      <c r="E312" s="266" t="str">
        <f t="shared" si="53"/>
        <v/>
      </c>
      <c r="F312" s="116" t="str">
        <f t="shared" si="54"/>
        <v/>
      </c>
      <c r="G312" s="183" t="str">
        <f t="shared" si="55"/>
        <v/>
      </c>
      <c r="H312" s="910" t="str">
        <f t="shared" si="56"/>
        <v/>
      </c>
      <c r="I312" s="939"/>
      <c r="J312" s="271" t="str">
        <f t="shared" si="57"/>
        <v/>
      </c>
      <c r="K312" s="131" t="str">
        <f>IFERROR(IF(ROUND(IF(totalyrs&gt;8,IF('Salary Detail'!$F$18="X",(IF(F36*(1+$K$15)^8&gt; MAXSAL,(MAXSAL*O312),(F36*O312*yr9percent*(1+$K$15)^8))),(F36*O312*yr9percent*(1+$K$15)^8)),0),0)=0,"",ROUND(IF(totalyrs&gt;8,IF('Salary Detail'!$F$18="X",(IF(F36*(1+$K$15)^8&gt; MAXSAL,(MAXSAL*O312),(F36*O312*yr9percent*(1+$K$15)^8))),(F36*O312*yr9percent*(1+$K$15)^8)),0),0)),"")</f>
        <v/>
      </c>
      <c r="L312" s="115" t="str">
        <f t="shared" si="62"/>
        <v/>
      </c>
      <c r="M312" s="266" t="str">
        <f t="shared" si="58"/>
        <v/>
      </c>
      <c r="N312" s="118" t="str">
        <f t="shared" si="59"/>
        <v/>
      </c>
      <c r="O312" s="185" t="str">
        <f t="shared" si="60"/>
        <v/>
      </c>
      <c r="P312" s="687"/>
      <c r="Q312" s="687"/>
      <c r="R312" s="674"/>
      <c r="S312" s="674"/>
      <c r="T312" s="674"/>
      <c r="U312" s="674"/>
      <c r="V312" s="674"/>
      <c r="W312" s="679"/>
      <c r="X312" s="679"/>
      <c r="Y312" s="674"/>
      <c r="Z312" s="674"/>
      <c r="AA312" s="674"/>
    </row>
    <row r="313" spans="1:27" x14ac:dyDescent="0.25">
      <c r="A313" s="114" t="str">
        <f t="shared" si="51"/>
        <v/>
      </c>
      <c r="B313" s="130" t="str">
        <f t="shared" si="52"/>
        <v/>
      </c>
      <c r="C313" s="130" t="str">
        <f>IFERROR(IF(ROUND(IF(totalyrs&gt;7,IF('Salary Detail'!$F$18="X",(IF(F37*(1+$K$15)^7&gt; MAXSAL,(MAXSAL*G313),(F37*G313*yr8percent*(1+$K$15)^7))),(F37*G313*yr8percent*(1+$K$15)^7)),0),0)=0,"",ROUND(IF(totalyrs&gt;7,IF('Salary Detail'!$F$18="X",(IF(F37*(1+$K$15)^7&gt; MAXSAL,(MAXSAL*G313),(F37*G313*yr8percent*(1+$K$15)^7))),(F37*G313*yr8percent*(1+$K$15)^7)),0),0)),"")</f>
        <v/>
      </c>
      <c r="D313" s="115" t="str">
        <f t="shared" si="61"/>
        <v/>
      </c>
      <c r="E313" s="266" t="str">
        <f t="shared" si="53"/>
        <v/>
      </c>
      <c r="F313" s="116" t="str">
        <f t="shared" si="54"/>
        <v/>
      </c>
      <c r="G313" s="183" t="str">
        <f t="shared" si="55"/>
        <v/>
      </c>
      <c r="H313" s="910" t="str">
        <f t="shared" si="56"/>
        <v/>
      </c>
      <c r="I313" s="939"/>
      <c r="J313" s="271" t="str">
        <f t="shared" si="57"/>
        <v/>
      </c>
      <c r="K313" s="131" t="str">
        <f>IFERROR(IF(ROUND(IF(totalyrs&gt;8,IF('Salary Detail'!$F$18="X",(IF(F37*(1+$K$15)^8&gt; MAXSAL,(MAXSAL*O313),(F37*O313*yr9percent*(1+$K$15)^8))),(F37*O313*yr9percent*(1+$K$15)^8)),0),0)=0,"",ROUND(IF(totalyrs&gt;8,IF('Salary Detail'!$F$18="X",(IF(F37*(1+$K$15)^8&gt; MAXSAL,(MAXSAL*O313),(F37*O313*yr9percent*(1+$K$15)^8))),(F37*O313*yr9percent*(1+$K$15)^8)),0),0)),"")</f>
        <v/>
      </c>
      <c r="L313" s="115" t="str">
        <f t="shared" si="62"/>
        <v/>
      </c>
      <c r="M313" s="266" t="str">
        <f t="shared" si="58"/>
        <v/>
      </c>
      <c r="N313" s="118" t="str">
        <f t="shared" si="59"/>
        <v/>
      </c>
      <c r="O313" s="185" t="str">
        <f t="shared" si="60"/>
        <v/>
      </c>
      <c r="P313" s="679"/>
      <c r="Q313" s="679"/>
      <c r="R313" s="674"/>
      <c r="S313" s="674"/>
      <c r="T313" s="674"/>
      <c r="U313" s="674"/>
      <c r="V313" s="674"/>
      <c r="W313" s="679"/>
      <c r="X313" s="679"/>
      <c r="Y313" s="674"/>
      <c r="Z313" s="674"/>
      <c r="AA313" s="674"/>
    </row>
    <row r="314" spans="1:27" x14ac:dyDescent="0.25">
      <c r="A314" s="114" t="str">
        <f t="shared" si="51"/>
        <v/>
      </c>
      <c r="B314" s="130" t="str">
        <f t="shared" si="52"/>
        <v/>
      </c>
      <c r="C314" s="130" t="str">
        <f>IFERROR(IF(ROUND(IF(totalyrs&gt;7,IF('Salary Detail'!$F$18="X",(IF(F38*(1+$K$15)^7&gt; MAXSAL,(MAXSAL*G314),(F38*G314*yr8percent*(1+$K$15)^7))),(F38*G314*yr8percent*(1+$K$15)^7)),0),0)=0,"",ROUND(IF(totalyrs&gt;7,IF('Salary Detail'!$F$18="X",(IF(F38*(1+$K$15)^7&gt; MAXSAL,(MAXSAL*G314),(F38*G314*yr8percent*(1+$K$15)^7))),(F38*G314*yr8percent*(1+$K$15)^7)),0),0)),"")</f>
        <v/>
      </c>
      <c r="D314" s="115" t="str">
        <f t="shared" si="61"/>
        <v/>
      </c>
      <c r="E314" s="266" t="str">
        <f t="shared" si="53"/>
        <v/>
      </c>
      <c r="F314" s="116" t="str">
        <f t="shared" si="54"/>
        <v/>
      </c>
      <c r="G314" s="183" t="str">
        <f t="shared" si="55"/>
        <v/>
      </c>
      <c r="H314" s="910" t="str">
        <f t="shared" si="56"/>
        <v/>
      </c>
      <c r="I314" s="939"/>
      <c r="J314" s="271" t="str">
        <f t="shared" si="57"/>
        <v/>
      </c>
      <c r="K314" s="131" t="str">
        <f>IFERROR(IF(ROUND(IF(totalyrs&gt;8,IF('Salary Detail'!$F$18="X",(IF(F38*(1+$K$15)^8&gt; MAXSAL,(MAXSAL*O314),(F38*O314*yr9percent*(1+$K$15)^8))),(F38*O314*yr9percent*(1+$K$15)^8)),0),0)=0,"",ROUND(IF(totalyrs&gt;8,IF('Salary Detail'!$F$18="X",(IF(F38*(1+$K$15)^8&gt; MAXSAL,(MAXSAL*O314),(F38*O314*yr9percent*(1+$K$15)^8))),(F38*O314*yr9percent*(1+$K$15)^8)),0),0)),"")</f>
        <v/>
      </c>
      <c r="L314" s="115" t="str">
        <f t="shared" si="62"/>
        <v/>
      </c>
      <c r="M314" s="266" t="str">
        <f t="shared" si="58"/>
        <v/>
      </c>
      <c r="N314" s="118" t="str">
        <f t="shared" si="59"/>
        <v/>
      </c>
      <c r="O314" s="185" t="str">
        <f t="shared" si="60"/>
        <v/>
      </c>
      <c r="P314" s="679"/>
      <c r="Q314" s="679"/>
      <c r="R314" s="674"/>
      <c r="S314" s="674"/>
      <c r="T314" s="674"/>
      <c r="U314" s="674"/>
      <c r="V314" s="674"/>
      <c r="W314" s="679"/>
      <c r="X314" s="679"/>
      <c r="Y314" s="674"/>
      <c r="Z314" s="674"/>
      <c r="AA314" s="674"/>
    </row>
    <row r="315" spans="1:27" x14ac:dyDescent="0.25">
      <c r="A315" s="114" t="str">
        <f t="shared" si="51"/>
        <v/>
      </c>
      <c r="B315" s="130" t="str">
        <f t="shared" si="52"/>
        <v/>
      </c>
      <c r="C315" s="130" t="str">
        <f>IFERROR(IF(ROUND(IF(totalyrs&gt;7,IF('Salary Detail'!$F$18="X",(IF(F39*(1+$K$15)^7&gt; MAXSAL,(MAXSAL*G315),(F39*G315*yr8percent*(1+$K$15)^7))),(F39*G315*yr8percent*(1+$K$15)^7)),0),0)=0,"",ROUND(IF(totalyrs&gt;7,IF('Salary Detail'!$F$18="X",(IF(F39*(1+$K$15)^7&gt; MAXSAL,(MAXSAL*G315),(F39*G315*yr8percent*(1+$K$15)^7))),(F39*G315*yr8percent*(1+$K$15)^7)),0),0)),"")</f>
        <v/>
      </c>
      <c r="D315" s="115" t="str">
        <f t="shared" si="61"/>
        <v/>
      </c>
      <c r="E315" s="266" t="str">
        <f t="shared" si="53"/>
        <v/>
      </c>
      <c r="F315" s="116" t="str">
        <f t="shared" si="54"/>
        <v/>
      </c>
      <c r="G315" s="183" t="str">
        <f t="shared" si="55"/>
        <v/>
      </c>
      <c r="H315" s="910" t="str">
        <f t="shared" si="56"/>
        <v/>
      </c>
      <c r="I315" s="939"/>
      <c r="J315" s="271" t="str">
        <f t="shared" si="57"/>
        <v/>
      </c>
      <c r="K315" s="131" t="str">
        <f>IFERROR(IF(ROUND(IF(totalyrs&gt;8,IF('Salary Detail'!$F$18="X",(IF(F39*(1+$K$15)^8&gt; MAXSAL,(MAXSAL*O315),(F39*O315*yr9percent*(1+$K$15)^8))),(F39*O315*yr9percent*(1+$K$15)^8)),0),0)=0,"",ROUND(IF(totalyrs&gt;8,IF('Salary Detail'!$F$18="X",(IF(F39*(1+$K$15)^8&gt; MAXSAL,(MAXSAL*O315),(F39*O315*yr9percent*(1+$K$15)^8))),(F39*O315*yr9percent*(1+$K$15)^8)),0),0)),"")</f>
        <v/>
      </c>
      <c r="L315" s="115" t="str">
        <f t="shared" si="62"/>
        <v/>
      </c>
      <c r="M315" s="266" t="str">
        <f t="shared" si="58"/>
        <v/>
      </c>
      <c r="N315" s="118" t="str">
        <f t="shared" si="59"/>
        <v/>
      </c>
      <c r="O315" s="185" t="str">
        <f t="shared" si="60"/>
        <v/>
      </c>
      <c r="P315" s="679"/>
      <c r="Q315" s="679"/>
      <c r="R315" s="674"/>
      <c r="S315" s="674"/>
      <c r="T315" s="674"/>
      <c r="U315" s="674"/>
      <c r="V315" s="674"/>
      <c r="W315" s="679"/>
      <c r="X315" s="679"/>
      <c r="Y315" s="674"/>
      <c r="Z315" s="674"/>
      <c r="AA315" s="674"/>
    </row>
    <row r="316" spans="1:27" x14ac:dyDescent="0.25">
      <c r="A316" s="114" t="str">
        <f t="shared" si="51"/>
        <v/>
      </c>
      <c r="B316" s="130" t="str">
        <f t="shared" si="52"/>
        <v/>
      </c>
      <c r="C316" s="130" t="str">
        <f>IFERROR(IF(ROUND(IF(totalyrs&gt;7,IF('Salary Detail'!$F$18="X",(IF(F40*(1+$K$15)^7&gt; MAXSAL,(MAXSAL*G316),(F40*G316*yr8percent*(1+$K$15)^7))),(F40*G316*yr8percent*(1+$K$15)^7)),0),0)=0,"",ROUND(IF(totalyrs&gt;7,IF('Salary Detail'!$F$18="X",(IF(F40*(1+$K$15)^7&gt; MAXSAL,(MAXSAL*G316),(F40*G316*yr8percent*(1+$K$15)^7))),(F40*G316*yr8percent*(1+$K$15)^7)),0),0)),"")</f>
        <v/>
      </c>
      <c r="D316" s="115" t="str">
        <f t="shared" si="61"/>
        <v/>
      </c>
      <c r="E316" s="266" t="str">
        <f t="shared" si="53"/>
        <v/>
      </c>
      <c r="F316" s="116" t="str">
        <f t="shared" si="54"/>
        <v/>
      </c>
      <c r="G316" s="183" t="str">
        <f t="shared" si="55"/>
        <v/>
      </c>
      <c r="H316" s="910" t="str">
        <f t="shared" si="56"/>
        <v/>
      </c>
      <c r="I316" s="939"/>
      <c r="J316" s="271" t="str">
        <f t="shared" si="57"/>
        <v/>
      </c>
      <c r="K316" s="131" t="str">
        <f>IFERROR(IF(ROUND(IF(totalyrs&gt;8,IF('Salary Detail'!$F$18="X",(IF(F40*(1+$K$15)^8&gt; MAXSAL,(MAXSAL*O316),(F40*O316*yr9percent*(1+$K$15)^8))),(F40*O316*yr9percent*(1+$K$15)^8)),0),0)=0,"",ROUND(IF(totalyrs&gt;8,IF('Salary Detail'!$F$18="X",(IF(F40*(1+$K$15)^8&gt; MAXSAL,(MAXSAL*O316),(F40*O316*yr9percent*(1+$K$15)^8))),(F40*O316*yr9percent*(1+$K$15)^8)),0),0)),"")</f>
        <v/>
      </c>
      <c r="L316" s="115" t="str">
        <f t="shared" si="62"/>
        <v/>
      </c>
      <c r="M316" s="266" t="str">
        <f t="shared" si="58"/>
        <v/>
      </c>
      <c r="N316" s="118" t="str">
        <f t="shared" si="59"/>
        <v/>
      </c>
      <c r="O316" s="185" t="str">
        <f t="shared" si="60"/>
        <v/>
      </c>
      <c r="P316" s="679"/>
      <c r="Q316" s="679"/>
      <c r="R316" s="674"/>
      <c r="S316" s="674"/>
      <c r="T316" s="674"/>
      <c r="U316" s="674"/>
      <c r="V316" s="674"/>
      <c r="W316" s="679"/>
      <c r="X316" s="679"/>
      <c r="Y316" s="674"/>
      <c r="Z316" s="674"/>
      <c r="AA316" s="674"/>
    </row>
    <row r="317" spans="1:27" x14ac:dyDescent="0.25">
      <c r="A317" s="114" t="str">
        <f t="shared" si="51"/>
        <v/>
      </c>
      <c r="B317" s="130" t="str">
        <f t="shared" si="52"/>
        <v/>
      </c>
      <c r="C317" s="130" t="str">
        <f>IFERROR(IF(ROUND(IF(totalyrs&gt;7,IF('Salary Detail'!$F$18="X",(IF(F41*(1+$K$15)^7&gt; MAXSAL,(MAXSAL*G317),(F41*G317*yr8percent*(1+$K$15)^7))),(F41*G317*yr8percent*(1+$K$15)^7)),0),0)=0,"",ROUND(IF(totalyrs&gt;7,IF('Salary Detail'!$F$18="X",(IF(F41*(1+$K$15)^7&gt; MAXSAL,(MAXSAL*G317),(F41*G317*yr8percent*(1+$K$15)^7))),(F41*G317*yr8percent*(1+$K$15)^7)),0),0)),"")</f>
        <v/>
      </c>
      <c r="D317" s="115" t="str">
        <f t="shared" si="61"/>
        <v/>
      </c>
      <c r="E317" s="266" t="str">
        <f t="shared" si="53"/>
        <v/>
      </c>
      <c r="F317" s="116" t="str">
        <f t="shared" si="54"/>
        <v/>
      </c>
      <c r="G317" s="183" t="str">
        <f t="shared" si="55"/>
        <v/>
      </c>
      <c r="H317" s="910" t="str">
        <f t="shared" si="56"/>
        <v/>
      </c>
      <c r="I317" s="939"/>
      <c r="J317" s="271" t="str">
        <f t="shared" si="57"/>
        <v/>
      </c>
      <c r="K317" s="131" t="str">
        <f>IFERROR(IF(ROUND(IF(totalyrs&gt;8,IF('Salary Detail'!$F$18="X",(IF(F41*(1+$K$15)^8&gt; MAXSAL,(MAXSAL*O317),(F41*O317*yr9percent*(1+$K$15)^8))),(F41*O317*yr9percent*(1+$K$15)^8)),0),0)=0,"",ROUND(IF(totalyrs&gt;8,IF('Salary Detail'!$F$18="X",(IF(F41*(1+$K$15)^8&gt; MAXSAL,(MAXSAL*O317),(F41*O317*yr9percent*(1+$K$15)^8))),(F41*O317*yr9percent*(1+$K$15)^8)),0),0)),"")</f>
        <v/>
      </c>
      <c r="L317" s="115" t="str">
        <f t="shared" si="62"/>
        <v/>
      </c>
      <c r="M317" s="266" t="str">
        <f t="shared" si="58"/>
        <v/>
      </c>
      <c r="N317" s="118" t="str">
        <f t="shared" si="59"/>
        <v/>
      </c>
      <c r="O317" s="185" t="str">
        <f t="shared" si="60"/>
        <v/>
      </c>
      <c r="P317" s="679"/>
      <c r="Q317" s="679"/>
      <c r="R317" s="674"/>
      <c r="S317" s="674"/>
      <c r="T317" s="674"/>
      <c r="U317" s="674"/>
      <c r="V317" s="674"/>
      <c r="W317" s="679"/>
      <c r="X317" s="679"/>
      <c r="Y317" s="674"/>
      <c r="Z317" s="674"/>
      <c r="AA317" s="674"/>
    </row>
    <row r="318" spans="1:27" x14ac:dyDescent="0.25">
      <c r="A318" s="114" t="str">
        <f t="shared" si="51"/>
        <v/>
      </c>
      <c r="B318" s="130" t="str">
        <f t="shared" si="52"/>
        <v/>
      </c>
      <c r="C318" s="130" t="str">
        <f>IFERROR(IF(ROUND(IF(totalyrs&gt;7,IF('Salary Detail'!$F$18="X",(IF(F42*(1+$K$15)^7&gt; MAXSAL,(MAXSAL*G318),(F42*G318*yr8percent*(1+$K$15)^7))),(F42*G318*yr8percent*(1+$K$15)^7)),0),0)=0,"",ROUND(IF(totalyrs&gt;7,IF('Salary Detail'!$F$18="X",(IF(F42*(1+$K$15)^7&gt; MAXSAL,(MAXSAL*G318),(F42*G318*yr8percent*(1+$K$15)^7))),(F42*G318*yr8percent*(1+$K$15)^7)),0),0)),"")</f>
        <v/>
      </c>
      <c r="D318" s="115" t="str">
        <f t="shared" si="61"/>
        <v/>
      </c>
      <c r="E318" s="266" t="str">
        <f t="shared" si="53"/>
        <v/>
      </c>
      <c r="F318" s="116" t="str">
        <f t="shared" si="54"/>
        <v/>
      </c>
      <c r="G318" s="183" t="str">
        <f t="shared" si="55"/>
        <v/>
      </c>
      <c r="H318" s="910" t="str">
        <f t="shared" si="56"/>
        <v/>
      </c>
      <c r="I318" s="939"/>
      <c r="J318" s="271" t="str">
        <f t="shared" si="57"/>
        <v/>
      </c>
      <c r="K318" s="131" t="str">
        <f>IFERROR(IF(ROUND(IF(totalyrs&gt;8,IF('Salary Detail'!$F$18="X",(IF(F42*(1+$K$15)^8&gt; MAXSAL,(MAXSAL*O318),(F42*O318*yr9percent*(1+$K$15)^8))),(F42*O318*yr9percent*(1+$K$15)^8)),0),0)=0,"",ROUND(IF(totalyrs&gt;8,IF('Salary Detail'!$F$18="X",(IF(F42*(1+$K$15)^8&gt; MAXSAL,(MAXSAL*O318),(F42*O318*yr9percent*(1+$K$15)^8))),(F42*O318*yr9percent*(1+$K$15)^8)),0),0)),"")</f>
        <v/>
      </c>
      <c r="L318" s="115" t="str">
        <f t="shared" si="62"/>
        <v/>
      </c>
      <c r="M318" s="266" t="str">
        <f t="shared" si="58"/>
        <v/>
      </c>
      <c r="N318" s="118" t="str">
        <f t="shared" si="59"/>
        <v/>
      </c>
      <c r="O318" s="185" t="str">
        <f t="shared" si="60"/>
        <v/>
      </c>
      <c r="P318" s="679"/>
      <c r="Q318" s="679"/>
      <c r="R318" s="674"/>
      <c r="S318" s="674"/>
      <c r="T318" s="674"/>
      <c r="U318" s="674"/>
      <c r="V318" s="674"/>
      <c r="W318" s="679"/>
      <c r="X318" s="679"/>
      <c r="Y318" s="674"/>
      <c r="Z318" s="674"/>
      <c r="AA318" s="674"/>
    </row>
    <row r="319" spans="1:27" x14ac:dyDescent="0.25">
      <c r="A319" s="114" t="str">
        <f t="shared" si="51"/>
        <v/>
      </c>
      <c r="B319" s="130" t="str">
        <f t="shared" si="52"/>
        <v/>
      </c>
      <c r="C319" s="130" t="str">
        <f>IFERROR(IF(ROUND(IF(totalyrs&gt;7,IF('Salary Detail'!$F$18="X",(IF(F43*(1+$K$15)^7&gt; MAXSAL,(MAXSAL*G319),(F43*G319*yr8percent*(1+$K$15)^7))),(F43*G319*yr8percent*(1+$K$15)^7)),0),0)=0,"",ROUND(IF(totalyrs&gt;7,IF('Salary Detail'!$F$18="X",(IF(F43*(1+$K$15)^7&gt; MAXSAL,(MAXSAL*G319),(F43*G319*yr8percent*(1+$K$15)^7))),(F43*G319*yr8percent*(1+$K$15)^7)),0),0)),"")</f>
        <v/>
      </c>
      <c r="D319" s="115" t="str">
        <f t="shared" si="61"/>
        <v/>
      </c>
      <c r="E319" s="266" t="str">
        <f t="shared" si="53"/>
        <v/>
      </c>
      <c r="F319" s="116" t="str">
        <f t="shared" si="54"/>
        <v/>
      </c>
      <c r="G319" s="183" t="str">
        <f t="shared" si="55"/>
        <v/>
      </c>
      <c r="H319" s="910" t="str">
        <f t="shared" si="56"/>
        <v/>
      </c>
      <c r="I319" s="939"/>
      <c r="J319" s="271" t="str">
        <f t="shared" si="57"/>
        <v/>
      </c>
      <c r="K319" s="131" t="str">
        <f>IFERROR(IF(ROUND(IF(totalyrs&gt;8,IF('Salary Detail'!$F$18="X",(IF(F43*(1+$K$15)^8&gt; MAXSAL,(MAXSAL*O319),(F43*O319*yr9percent*(1+$K$15)^8))),(F43*O319*yr9percent*(1+$K$15)^8)),0),0)=0,"",ROUND(IF(totalyrs&gt;8,IF('Salary Detail'!$F$18="X",(IF(F43*(1+$K$15)^8&gt; MAXSAL,(MAXSAL*O319),(F43*O319*yr9percent*(1+$K$15)^8))),(F43*O319*yr9percent*(1+$K$15)^8)),0),0)),"")</f>
        <v/>
      </c>
      <c r="L319" s="115" t="str">
        <f t="shared" si="62"/>
        <v/>
      </c>
      <c r="M319" s="266" t="str">
        <f t="shared" si="58"/>
        <v/>
      </c>
      <c r="N319" s="118" t="str">
        <f t="shared" si="59"/>
        <v/>
      </c>
      <c r="O319" s="185" t="str">
        <f t="shared" si="60"/>
        <v/>
      </c>
      <c r="P319" s="679"/>
      <c r="Q319" s="679"/>
      <c r="R319" s="674"/>
      <c r="S319" s="674"/>
      <c r="T319" s="674"/>
      <c r="U319" s="674"/>
      <c r="V319" s="674"/>
      <c r="W319" s="679"/>
      <c r="X319" s="679"/>
      <c r="Y319" s="674"/>
      <c r="Z319" s="674"/>
      <c r="AA319" s="674"/>
    </row>
    <row r="320" spans="1:27" x14ac:dyDescent="0.25">
      <c r="A320" s="114" t="str">
        <f t="shared" si="51"/>
        <v/>
      </c>
      <c r="B320" s="130" t="str">
        <f t="shared" si="52"/>
        <v/>
      </c>
      <c r="C320" s="130" t="str">
        <f>IFERROR(IF(ROUND(IF(totalyrs&gt;7,IF('Salary Detail'!$F$18="X",(IF(F44*(1+$K$15)^7&gt; MAXSAL,(MAXSAL*G320),(F44*G320*yr8percent*(1+$K$15)^7))),(F44*G320*yr8percent*(1+$K$15)^7)),0),0)=0,"",ROUND(IF(totalyrs&gt;7,IF('Salary Detail'!$F$18="X",(IF(F44*(1+$K$15)^7&gt; MAXSAL,(MAXSAL*G320),(F44*G320*yr8percent*(1+$K$15)^7))),(F44*G320*yr8percent*(1+$K$15)^7)),0),0)),"")</f>
        <v/>
      </c>
      <c r="D320" s="115" t="str">
        <f t="shared" si="61"/>
        <v/>
      </c>
      <c r="E320" s="266" t="str">
        <f t="shared" si="53"/>
        <v/>
      </c>
      <c r="F320" s="116" t="str">
        <f t="shared" si="54"/>
        <v/>
      </c>
      <c r="G320" s="183" t="str">
        <f t="shared" si="55"/>
        <v/>
      </c>
      <c r="H320" s="910" t="str">
        <f t="shared" si="56"/>
        <v/>
      </c>
      <c r="I320" s="939"/>
      <c r="J320" s="271" t="str">
        <f t="shared" si="57"/>
        <v/>
      </c>
      <c r="K320" s="131" t="str">
        <f>IFERROR(IF(ROUND(IF(totalyrs&gt;8,IF('Salary Detail'!$F$18="X",(IF(F44*(1+$K$15)^8&gt; MAXSAL,(MAXSAL*O320),(F44*O320*yr9percent*(1+$K$15)^8))),(F44*O320*yr9percent*(1+$K$15)^8)),0),0)=0,"",ROUND(IF(totalyrs&gt;8,IF('Salary Detail'!$F$18="X",(IF(F44*(1+$K$15)^8&gt; MAXSAL,(MAXSAL*O320),(F44*O320*yr9percent*(1+$K$15)^8))),(F44*O320*yr9percent*(1+$K$15)^8)),0),0)),"")</f>
        <v/>
      </c>
      <c r="L320" s="115" t="str">
        <f t="shared" si="62"/>
        <v/>
      </c>
      <c r="M320" s="266" t="str">
        <f t="shared" si="58"/>
        <v/>
      </c>
      <c r="N320" s="118" t="str">
        <f t="shared" si="59"/>
        <v/>
      </c>
      <c r="O320" s="185" t="str">
        <f t="shared" si="60"/>
        <v/>
      </c>
      <c r="P320" s="679"/>
      <c r="Q320" s="679"/>
      <c r="R320" s="674"/>
      <c r="S320" s="674"/>
      <c r="T320" s="674"/>
      <c r="U320" s="674"/>
      <c r="V320" s="674"/>
      <c r="W320" s="679"/>
      <c r="X320" s="679"/>
      <c r="Y320" s="674"/>
      <c r="Z320" s="674"/>
      <c r="AA320" s="674"/>
    </row>
    <row r="321" spans="1:27" x14ac:dyDescent="0.25">
      <c r="A321" s="114" t="str">
        <f t="shared" si="51"/>
        <v/>
      </c>
      <c r="B321" s="130" t="str">
        <f t="shared" si="52"/>
        <v/>
      </c>
      <c r="C321" s="130" t="str">
        <f>IFERROR(IF(ROUND(IF(totalyrs&gt;7,IF('Salary Detail'!$F$18="X",(IF(F45*(1+$K$15)^7&gt; MAXSAL,(MAXSAL*G321),(F45*G321*yr8percent*(1+$K$15)^7))),(F45*G321*yr8percent*(1+$K$15)^7)),0),0)=0,"",ROUND(IF(totalyrs&gt;7,IF('Salary Detail'!$F$18="X",(IF(F45*(1+$K$15)^7&gt; MAXSAL,(MAXSAL*G321),(F45*G321*yr8percent*(1+$K$15)^7))),(F45*G321*yr8percent*(1+$K$15)^7)),0),0)),"")</f>
        <v/>
      </c>
      <c r="D321" s="115" t="str">
        <f t="shared" si="61"/>
        <v/>
      </c>
      <c r="E321" s="266" t="str">
        <f t="shared" si="53"/>
        <v/>
      </c>
      <c r="F321" s="116" t="str">
        <f t="shared" si="54"/>
        <v/>
      </c>
      <c r="G321" s="183" t="str">
        <f t="shared" si="55"/>
        <v/>
      </c>
      <c r="H321" s="910" t="str">
        <f t="shared" si="56"/>
        <v/>
      </c>
      <c r="I321" s="939"/>
      <c r="J321" s="271" t="str">
        <f t="shared" si="57"/>
        <v/>
      </c>
      <c r="K321" s="131" t="str">
        <f>IFERROR(IF(ROUND(IF(totalyrs&gt;8,IF('Salary Detail'!$F$18="X",(IF(F45*(1+$K$15)^8&gt; MAXSAL,(MAXSAL*O321),(F45*O321*yr9percent*(1+$K$15)^8))),(F45*O321*yr9percent*(1+$K$15)^8)),0),0)=0,"",ROUND(IF(totalyrs&gt;8,IF('Salary Detail'!$F$18="X",(IF(F45*(1+$K$15)^8&gt; MAXSAL,(MAXSAL*O321),(F45*O321*yr9percent*(1+$K$15)^8))),(F45*O321*yr9percent*(1+$K$15)^8)),0),0)),"")</f>
        <v/>
      </c>
      <c r="L321" s="115" t="str">
        <f t="shared" si="62"/>
        <v/>
      </c>
      <c r="M321" s="266" t="str">
        <f t="shared" si="58"/>
        <v/>
      </c>
      <c r="N321" s="118" t="str">
        <f t="shared" si="59"/>
        <v/>
      </c>
      <c r="O321" s="185" t="str">
        <f t="shared" si="60"/>
        <v/>
      </c>
      <c r="P321" s="679"/>
      <c r="Q321" s="679"/>
      <c r="R321" s="674"/>
      <c r="S321" s="674"/>
      <c r="T321" s="674"/>
      <c r="U321" s="674"/>
      <c r="V321" s="674"/>
      <c r="W321" s="679"/>
      <c r="X321" s="679"/>
      <c r="Y321" s="674"/>
      <c r="Z321" s="674"/>
      <c r="AA321" s="674"/>
    </row>
    <row r="322" spans="1:27" x14ac:dyDescent="0.25">
      <c r="A322" s="114" t="str">
        <f t="shared" si="51"/>
        <v/>
      </c>
      <c r="B322" s="130" t="str">
        <f t="shared" si="52"/>
        <v/>
      </c>
      <c r="C322" s="130" t="str">
        <f>IFERROR(IF(ROUND(IF(totalyrs&gt;7,IF('Salary Detail'!$F$18="X",(IF(F46*(1+$K$15)^7&gt; MAXSAL,(MAXSAL*G322),(F46*G322*yr8percent*(1+$K$15)^7))),(F46*G322*yr8percent*(1+$K$15)^7)),0),0)=0,"",ROUND(IF(totalyrs&gt;7,IF('Salary Detail'!$F$18="X",(IF(F46*(1+$K$15)^7&gt; MAXSAL,(MAXSAL*G322),(F46*G322*yr8percent*(1+$K$15)^7))),(F46*G322*yr8percent*(1+$K$15)^7)),0),0)),"")</f>
        <v/>
      </c>
      <c r="D322" s="115" t="str">
        <f t="shared" si="61"/>
        <v/>
      </c>
      <c r="E322" s="266" t="str">
        <f t="shared" si="53"/>
        <v/>
      </c>
      <c r="F322" s="116" t="str">
        <f t="shared" si="54"/>
        <v/>
      </c>
      <c r="G322" s="183" t="str">
        <f t="shared" si="55"/>
        <v/>
      </c>
      <c r="H322" s="910" t="str">
        <f t="shared" si="56"/>
        <v/>
      </c>
      <c r="I322" s="939"/>
      <c r="J322" s="271" t="str">
        <f t="shared" si="57"/>
        <v/>
      </c>
      <c r="K322" s="131" t="str">
        <f>IFERROR(IF(ROUND(IF(totalyrs&gt;8,IF('Salary Detail'!$F$18="X",(IF(F46*(1+$K$15)^8&gt; MAXSAL,(MAXSAL*O322),(F46*O322*yr9percent*(1+$K$15)^8))),(F46*O322*yr9percent*(1+$K$15)^8)),0),0)=0,"",ROUND(IF(totalyrs&gt;8,IF('Salary Detail'!$F$18="X",(IF(F46*(1+$K$15)^8&gt; MAXSAL,(MAXSAL*O322),(F46*O322*yr9percent*(1+$K$15)^8))),(F46*O322*yr9percent*(1+$K$15)^8)),0),0)),"")</f>
        <v/>
      </c>
      <c r="L322" s="115" t="str">
        <f t="shared" si="62"/>
        <v/>
      </c>
      <c r="M322" s="266" t="str">
        <f t="shared" si="58"/>
        <v/>
      </c>
      <c r="N322" s="118" t="str">
        <f t="shared" si="59"/>
        <v/>
      </c>
      <c r="O322" s="185" t="str">
        <f t="shared" si="60"/>
        <v/>
      </c>
      <c r="P322" s="679"/>
      <c r="Q322" s="679"/>
      <c r="R322" s="674"/>
      <c r="S322" s="674"/>
      <c r="T322" s="674"/>
      <c r="U322" s="674"/>
      <c r="V322" s="674"/>
      <c r="W322" s="679"/>
      <c r="X322" s="679"/>
      <c r="Y322" s="674"/>
      <c r="Z322" s="674"/>
      <c r="AA322" s="674"/>
    </row>
    <row r="323" spans="1:27" x14ac:dyDescent="0.25">
      <c r="A323" s="114" t="str">
        <f t="shared" si="51"/>
        <v/>
      </c>
      <c r="B323" s="130" t="str">
        <f t="shared" si="52"/>
        <v/>
      </c>
      <c r="C323" s="130" t="str">
        <f>IFERROR(IF(ROUND(IF(totalyrs&gt;7,IF('Salary Detail'!$F$18="X",(IF(F47*(1+$K$15)^7&gt; MAXSAL,(MAXSAL*G323),(F47*G323*yr8percent*(1+$K$15)^7))),(F47*G323*yr8percent*(1+$K$15)^7)),0),0)=0,"",ROUND(IF(totalyrs&gt;7,IF('Salary Detail'!$F$18="X",(IF(F47*(1+$K$15)^7&gt; MAXSAL,(MAXSAL*G323),(F47*G323*yr8percent*(1+$K$15)^7))),(F47*G323*yr8percent*(1+$K$15)^7)),0),0)),"")</f>
        <v/>
      </c>
      <c r="D323" s="115" t="str">
        <f t="shared" si="61"/>
        <v/>
      </c>
      <c r="E323" s="266" t="str">
        <f t="shared" si="53"/>
        <v/>
      </c>
      <c r="F323" s="116" t="str">
        <f t="shared" si="54"/>
        <v/>
      </c>
      <c r="G323" s="183" t="str">
        <f t="shared" si="55"/>
        <v/>
      </c>
      <c r="H323" s="910" t="str">
        <f t="shared" si="56"/>
        <v/>
      </c>
      <c r="I323" s="939"/>
      <c r="J323" s="271" t="str">
        <f t="shared" si="57"/>
        <v/>
      </c>
      <c r="K323" s="131" t="str">
        <f>IFERROR(IF(ROUND(IF(totalyrs&gt;8,IF('Salary Detail'!$F$18="X",(IF(F47*(1+$K$15)^8&gt; MAXSAL,(MAXSAL*O323),(F47*O323*yr9percent*(1+$K$15)^8))),(F47*O323*yr9percent*(1+$K$15)^8)),0),0)=0,"",ROUND(IF(totalyrs&gt;8,IF('Salary Detail'!$F$18="X",(IF(F47*(1+$K$15)^8&gt; MAXSAL,(MAXSAL*O323),(F47*O323*yr9percent*(1+$K$15)^8))),(F47*O323*yr9percent*(1+$K$15)^8)),0),0)),"")</f>
        <v/>
      </c>
      <c r="L323" s="115" t="str">
        <f t="shared" si="62"/>
        <v/>
      </c>
      <c r="M323" s="266" t="str">
        <f t="shared" si="58"/>
        <v/>
      </c>
      <c r="N323" s="118" t="str">
        <f t="shared" si="59"/>
        <v/>
      </c>
      <c r="O323" s="185" t="str">
        <f t="shared" si="60"/>
        <v/>
      </c>
      <c r="P323" s="679"/>
      <c r="Q323" s="679"/>
      <c r="R323" s="674"/>
      <c r="S323" s="674"/>
      <c r="T323" s="674"/>
      <c r="U323" s="674"/>
      <c r="V323" s="674"/>
      <c r="W323" s="679"/>
      <c r="X323" s="679"/>
      <c r="Y323" s="674"/>
      <c r="Z323" s="674"/>
      <c r="AA323" s="674"/>
    </row>
    <row r="324" spans="1:27" x14ac:dyDescent="0.25">
      <c r="A324" s="114" t="str">
        <f t="shared" si="51"/>
        <v/>
      </c>
      <c r="B324" s="130" t="str">
        <f t="shared" si="52"/>
        <v/>
      </c>
      <c r="C324" s="130" t="str">
        <f>IFERROR(IF(ROUND(IF(totalyrs&gt;7,IF('Salary Detail'!$F$18="X",(IF(F48*(1+$K$15)^7&gt; MAXSAL,(MAXSAL*G324),(F48*G324*yr8percent*(1+$K$15)^7))),(F48*G324*yr8percent*(1+$K$15)^7)),0),0)=0,"",ROUND(IF(totalyrs&gt;7,IF('Salary Detail'!$F$18="X",(IF(F48*(1+$K$15)^7&gt; MAXSAL,(MAXSAL*G324),(F48*G324*yr8percent*(1+$K$15)^7))),(F48*G324*yr8percent*(1+$K$15)^7)),0),0)),"")</f>
        <v/>
      </c>
      <c r="D324" s="115" t="str">
        <f t="shared" si="61"/>
        <v/>
      </c>
      <c r="E324" s="266" t="str">
        <f t="shared" si="53"/>
        <v/>
      </c>
      <c r="F324" s="116" t="str">
        <f t="shared" si="54"/>
        <v/>
      </c>
      <c r="G324" s="183" t="str">
        <f t="shared" si="55"/>
        <v/>
      </c>
      <c r="H324" s="910" t="str">
        <f t="shared" si="56"/>
        <v/>
      </c>
      <c r="I324" s="939"/>
      <c r="J324" s="271" t="str">
        <f t="shared" si="57"/>
        <v/>
      </c>
      <c r="K324" s="131" t="str">
        <f>IFERROR(IF(ROUND(IF(totalyrs&gt;8,IF('Salary Detail'!$F$18="X",(IF(F48*(1+$K$15)^8&gt; MAXSAL,(MAXSAL*O324),(F48*O324*yr9percent*(1+$K$15)^8))),(F48*O324*yr9percent*(1+$K$15)^8)),0),0)=0,"",ROUND(IF(totalyrs&gt;8,IF('Salary Detail'!$F$18="X",(IF(F48*(1+$K$15)^8&gt; MAXSAL,(MAXSAL*O324),(F48*O324*yr9percent*(1+$K$15)^8))),(F48*O324*yr9percent*(1+$K$15)^8)),0),0)),"")</f>
        <v/>
      </c>
      <c r="L324" s="115" t="str">
        <f t="shared" si="62"/>
        <v/>
      </c>
      <c r="M324" s="266" t="str">
        <f t="shared" si="58"/>
        <v/>
      </c>
      <c r="N324" s="118" t="str">
        <f t="shared" si="59"/>
        <v/>
      </c>
      <c r="O324" s="185" t="str">
        <f t="shared" si="60"/>
        <v/>
      </c>
      <c r="P324" s="679"/>
      <c r="Q324" s="679"/>
      <c r="R324" s="674"/>
      <c r="S324" s="674"/>
      <c r="T324" s="674"/>
      <c r="U324" s="674"/>
      <c r="V324" s="674"/>
      <c r="W324" s="679"/>
      <c r="X324" s="679"/>
      <c r="Y324" s="674"/>
      <c r="Z324" s="674"/>
      <c r="AA324" s="674"/>
    </row>
    <row r="325" spans="1:27" x14ac:dyDescent="0.25">
      <c r="A325" s="114" t="str">
        <f t="shared" si="51"/>
        <v/>
      </c>
      <c r="B325" s="130" t="str">
        <f t="shared" si="52"/>
        <v/>
      </c>
      <c r="C325" s="130" t="str">
        <f>IFERROR(IF(ROUND(IF(totalyrs&gt;7,IF('Salary Detail'!$F$18="X",(IF(F49*(1+$K$15)^7&gt; MAXSAL,(MAXSAL*G325),(F49*G325*yr8percent*(1+$K$15)^7))),(F49*G325*yr8percent*(1+$K$15)^7)),0),0)=0,"",ROUND(IF(totalyrs&gt;7,IF('Salary Detail'!$F$18="X",(IF(F49*(1+$K$15)^7&gt; MAXSAL,(MAXSAL*G325),(F49*G325*yr8percent*(1+$K$15)^7))),(F49*G325*yr8percent*(1+$K$15)^7)),0),0)),"")</f>
        <v/>
      </c>
      <c r="D325" s="115" t="str">
        <f t="shared" si="61"/>
        <v/>
      </c>
      <c r="E325" s="266" t="str">
        <f t="shared" si="53"/>
        <v/>
      </c>
      <c r="F325" s="116" t="str">
        <f t="shared" si="54"/>
        <v/>
      </c>
      <c r="G325" s="183" t="str">
        <f t="shared" si="55"/>
        <v/>
      </c>
      <c r="H325" s="910" t="str">
        <f t="shared" si="56"/>
        <v/>
      </c>
      <c r="I325" s="939"/>
      <c r="J325" s="271" t="str">
        <f t="shared" si="57"/>
        <v/>
      </c>
      <c r="K325" s="131" t="str">
        <f>IFERROR(IF(ROUND(IF(totalyrs&gt;8,IF('Salary Detail'!$F$18="X",(IF(F49*(1+$K$15)^8&gt; MAXSAL,(MAXSAL*O325),(F49*O325*yr9percent*(1+$K$15)^8))),(F49*O325*yr9percent*(1+$K$15)^8)),0),0)=0,"",ROUND(IF(totalyrs&gt;8,IF('Salary Detail'!$F$18="X",(IF(F49*(1+$K$15)^8&gt; MAXSAL,(MAXSAL*O325),(F49*O325*yr9percent*(1+$K$15)^8))),(F49*O325*yr9percent*(1+$K$15)^8)),0),0)),"")</f>
        <v/>
      </c>
      <c r="L325" s="115" t="str">
        <f t="shared" si="62"/>
        <v/>
      </c>
      <c r="M325" s="266" t="str">
        <f t="shared" si="58"/>
        <v/>
      </c>
      <c r="N325" s="118" t="str">
        <f t="shared" si="59"/>
        <v/>
      </c>
      <c r="O325" s="185" t="str">
        <f t="shared" si="60"/>
        <v/>
      </c>
      <c r="P325" s="679"/>
      <c r="Q325" s="679"/>
      <c r="R325" s="674"/>
      <c r="S325" s="674"/>
      <c r="T325" s="674"/>
      <c r="U325" s="674"/>
      <c r="V325" s="674"/>
      <c r="W325" s="679"/>
      <c r="X325" s="679"/>
      <c r="Y325" s="674"/>
      <c r="Z325" s="674"/>
      <c r="AA325" s="674"/>
    </row>
    <row r="326" spans="1:27" x14ac:dyDescent="0.25">
      <c r="A326" s="114" t="str">
        <f t="shared" si="51"/>
        <v/>
      </c>
      <c r="B326" s="130" t="str">
        <f t="shared" si="52"/>
        <v/>
      </c>
      <c r="C326" s="130" t="str">
        <f>IFERROR(IF(ROUND(IF(totalyrs&gt;7,IF('Salary Detail'!$F$18="X",(IF(F50*(1+$K$15)^7&gt; MAXSAL,(MAXSAL*G326),(F50*G326*yr8percent*(1+$K$15)^7))),(F50*G326*yr8percent*(1+$K$15)^7)),0),0)=0,"",ROUND(IF(totalyrs&gt;7,IF('Salary Detail'!$F$18="X",(IF(F50*(1+$K$15)^7&gt; MAXSAL,(MAXSAL*G326),(F50*G326*yr8percent*(1+$K$15)^7))),(F50*G326*yr8percent*(1+$K$15)^7)),0),0)),"")</f>
        <v/>
      </c>
      <c r="D326" s="115" t="str">
        <f t="shared" si="61"/>
        <v/>
      </c>
      <c r="E326" s="266" t="str">
        <f t="shared" si="53"/>
        <v/>
      </c>
      <c r="F326" s="116" t="str">
        <f t="shared" si="54"/>
        <v/>
      </c>
      <c r="G326" s="183" t="str">
        <f t="shared" si="55"/>
        <v/>
      </c>
      <c r="H326" s="910" t="str">
        <f t="shared" si="56"/>
        <v/>
      </c>
      <c r="I326" s="939"/>
      <c r="J326" s="271" t="str">
        <f t="shared" si="57"/>
        <v/>
      </c>
      <c r="K326" s="131" t="str">
        <f>IFERROR(IF(ROUND(IF(totalyrs&gt;8,IF('Salary Detail'!$F$18="X",(IF(F50*(1+$K$15)^8&gt; MAXSAL,(MAXSAL*O326),(F50*O326*yr9percent*(1+$K$15)^8))),(F50*O326*yr9percent*(1+$K$15)^8)),0),0)=0,"",ROUND(IF(totalyrs&gt;8,IF('Salary Detail'!$F$18="X",(IF(F50*(1+$K$15)^8&gt; MAXSAL,(MAXSAL*O326),(F50*O326*yr9percent*(1+$K$15)^8))),(F50*O326*yr9percent*(1+$K$15)^8)),0),0)),"")</f>
        <v/>
      </c>
      <c r="L326" s="115" t="str">
        <f t="shared" si="62"/>
        <v/>
      </c>
      <c r="M326" s="266" t="str">
        <f t="shared" si="58"/>
        <v/>
      </c>
      <c r="N326" s="118" t="str">
        <f t="shared" si="59"/>
        <v/>
      </c>
      <c r="O326" s="185" t="str">
        <f t="shared" si="60"/>
        <v/>
      </c>
      <c r="P326" s="679"/>
      <c r="Q326" s="679"/>
      <c r="R326" s="674"/>
      <c r="S326" s="674"/>
      <c r="T326" s="674"/>
      <c r="U326" s="674"/>
      <c r="V326" s="674"/>
      <c r="W326" s="679"/>
      <c r="X326" s="679"/>
      <c r="Y326" s="674"/>
      <c r="Z326" s="674"/>
      <c r="AA326" s="674"/>
    </row>
    <row r="327" spans="1:27" x14ac:dyDescent="0.25">
      <c r="A327" s="114" t="str">
        <f t="shared" si="51"/>
        <v/>
      </c>
      <c r="B327" s="130" t="str">
        <f t="shared" si="52"/>
        <v/>
      </c>
      <c r="C327" s="130" t="str">
        <f>IFERROR(IF(ROUND(IF(totalyrs&gt;7,IF('Salary Detail'!$F$18="X",(IF(F51*(1+$K$15)^7&gt; MAXSAL,(MAXSAL*G327),(F51*G327*yr8percent*(1+$K$15)^7))),(F51*G327*yr8percent*(1+$K$15)^7)),0),0)=0,"",ROUND(IF(totalyrs&gt;7,IF('Salary Detail'!$F$18="X",(IF(F51*(1+$K$15)^7&gt; MAXSAL,(MAXSAL*G327),(F51*G327*yr8percent*(1+$K$15)^7))),(F51*G327*yr8percent*(1+$K$15)^7)),0),0)),"")</f>
        <v/>
      </c>
      <c r="D327" s="115" t="str">
        <f t="shared" si="61"/>
        <v/>
      </c>
      <c r="E327" s="266" t="str">
        <f t="shared" si="53"/>
        <v/>
      </c>
      <c r="F327" s="116" t="str">
        <f t="shared" si="54"/>
        <v/>
      </c>
      <c r="G327" s="183" t="str">
        <f t="shared" si="55"/>
        <v/>
      </c>
      <c r="H327" s="910" t="str">
        <f t="shared" si="56"/>
        <v/>
      </c>
      <c r="I327" s="939"/>
      <c r="J327" s="271" t="str">
        <f t="shared" si="57"/>
        <v/>
      </c>
      <c r="K327" s="131" t="str">
        <f>IFERROR(IF(ROUND(IF(totalyrs&gt;8,IF('Salary Detail'!$F$18="X",(IF(F51*(1+$K$15)^8&gt; MAXSAL,(MAXSAL*O327),(F51*O327*yr9percent*(1+$K$15)^8))),(F51*O327*yr9percent*(1+$K$15)^8)),0),0)=0,"",ROUND(IF(totalyrs&gt;8,IF('Salary Detail'!$F$18="X",(IF(F51*(1+$K$15)^8&gt; MAXSAL,(MAXSAL*O327),(F51*O327*yr9percent*(1+$K$15)^8))),(F51*O327*yr9percent*(1+$K$15)^8)),0),0)),"")</f>
        <v/>
      </c>
      <c r="L327" s="115" t="str">
        <f t="shared" si="62"/>
        <v/>
      </c>
      <c r="M327" s="266" t="str">
        <f t="shared" si="58"/>
        <v/>
      </c>
      <c r="N327" s="118" t="str">
        <f t="shared" si="59"/>
        <v/>
      </c>
      <c r="O327" s="185" t="str">
        <f t="shared" si="60"/>
        <v/>
      </c>
      <c r="P327" s="679"/>
      <c r="Q327" s="679"/>
      <c r="R327" s="674"/>
      <c r="S327" s="674"/>
      <c r="T327" s="674"/>
      <c r="U327" s="674"/>
      <c r="V327" s="674"/>
      <c r="W327" s="679"/>
      <c r="X327" s="679"/>
      <c r="Y327" s="674"/>
      <c r="Z327" s="674"/>
      <c r="AA327" s="674"/>
    </row>
    <row r="328" spans="1:27" x14ac:dyDescent="0.25">
      <c r="A328" s="114" t="str">
        <f t="shared" si="51"/>
        <v/>
      </c>
      <c r="B328" s="130" t="str">
        <f t="shared" si="52"/>
        <v/>
      </c>
      <c r="C328" s="130" t="str">
        <f>IFERROR(IF(ROUND(IF(totalyrs&gt;7,IF('Salary Detail'!$F$18="X",(IF(F52*(1+$K$15)^7&gt; MAXSAL,(MAXSAL*G328),(F52*G328*yr8percent*(1+$K$15)^7))),(F52*G328*yr8percent*(1+$K$15)^7)),0),0)=0,"",ROUND(IF(totalyrs&gt;7,IF('Salary Detail'!$F$18="X",(IF(F52*(1+$K$15)^7&gt; MAXSAL,(MAXSAL*G328),(F52*G328*yr8percent*(1+$K$15)^7))),(F52*G328*yr8percent*(1+$K$15)^7)),0),0)),"")</f>
        <v/>
      </c>
      <c r="D328" s="115" t="str">
        <f t="shared" si="61"/>
        <v/>
      </c>
      <c r="E328" s="266" t="str">
        <f t="shared" si="53"/>
        <v/>
      </c>
      <c r="F328" s="116" t="str">
        <f t="shared" si="54"/>
        <v/>
      </c>
      <c r="G328" s="183" t="str">
        <f t="shared" si="55"/>
        <v/>
      </c>
      <c r="H328" s="910" t="str">
        <f t="shared" si="56"/>
        <v/>
      </c>
      <c r="I328" s="939"/>
      <c r="J328" s="271" t="str">
        <f t="shared" si="57"/>
        <v/>
      </c>
      <c r="K328" s="131" t="str">
        <f>IFERROR(IF(ROUND(IF(totalyrs&gt;8,IF('Salary Detail'!$F$18="X",(IF(F52*(1+$K$15)^8&gt; MAXSAL,(MAXSAL*O328),(F52*O328*yr9percent*(1+$K$15)^8))),(F52*O328*yr9percent*(1+$K$15)^8)),0),0)=0,"",ROUND(IF(totalyrs&gt;8,IF('Salary Detail'!$F$18="X",(IF(F52*(1+$K$15)^8&gt; MAXSAL,(MAXSAL*O328),(F52*O328*yr9percent*(1+$K$15)^8))),(F52*O328*yr9percent*(1+$K$15)^8)),0),0)),"")</f>
        <v/>
      </c>
      <c r="L328" s="115" t="str">
        <f t="shared" si="62"/>
        <v/>
      </c>
      <c r="M328" s="266" t="str">
        <f t="shared" si="58"/>
        <v/>
      </c>
      <c r="N328" s="118" t="str">
        <f t="shared" si="59"/>
        <v/>
      </c>
      <c r="O328" s="185" t="str">
        <f t="shared" si="60"/>
        <v/>
      </c>
      <c r="P328" s="679"/>
      <c r="Q328" s="679"/>
      <c r="R328" s="674"/>
      <c r="S328" s="674"/>
      <c r="T328" s="674"/>
      <c r="U328" s="674"/>
      <c r="V328" s="674"/>
      <c r="W328" s="679"/>
      <c r="X328" s="679"/>
      <c r="Y328" s="674"/>
      <c r="Z328" s="674"/>
      <c r="AA328" s="674"/>
    </row>
    <row r="329" spans="1:27" x14ac:dyDescent="0.25">
      <c r="A329" s="114" t="str">
        <f t="shared" si="51"/>
        <v/>
      </c>
      <c r="B329" s="130" t="str">
        <f t="shared" si="52"/>
        <v/>
      </c>
      <c r="C329" s="130" t="str">
        <f>IFERROR(IF(ROUND(IF(totalyrs&gt;7,IF('Salary Detail'!$F$18="X",(IF(F53*(1+$K$15)^7&gt; MAXSAL,(MAXSAL*G329),(F53*G329*yr8percent*(1+$K$15)^7))),(F53*G329*yr8percent*(1+$K$15)^7)),0),0)=0,"",ROUND(IF(totalyrs&gt;7,IF('Salary Detail'!$F$18="X",(IF(F53*(1+$K$15)^7&gt; MAXSAL,(MAXSAL*G329),(F53*G329*yr8percent*(1+$K$15)^7))),(F53*G329*yr8percent*(1+$K$15)^7)),0),0)),"")</f>
        <v/>
      </c>
      <c r="D329" s="115" t="str">
        <f t="shared" si="61"/>
        <v/>
      </c>
      <c r="E329" s="266" t="str">
        <f t="shared" si="53"/>
        <v/>
      </c>
      <c r="F329" s="116" t="str">
        <f t="shared" si="54"/>
        <v/>
      </c>
      <c r="G329" s="183" t="str">
        <f t="shared" si="55"/>
        <v/>
      </c>
      <c r="H329" s="910" t="str">
        <f t="shared" si="56"/>
        <v/>
      </c>
      <c r="I329" s="939"/>
      <c r="J329" s="271" t="str">
        <f t="shared" si="57"/>
        <v/>
      </c>
      <c r="K329" s="131" t="str">
        <f>IFERROR(IF(ROUND(IF(totalyrs&gt;8,IF('Salary Detail'!$F$18="X",(IF(F53*(1+$K$15)^8&gt; MAXSAL,(MAXSAL*O329),(F53*O329*yr9percent*(1+$K$15)^8))),(F53*O329*yr9percent*(1+$K$15)^8)),0),0)=0,"",ROUND(IF(totalyrs&gt;8,IF('Salary Detail'!$F$18="X",(IF(F53*(1+$K$15)^8&gt; MAXSAL,(MAXSAL*O329),(F53*O329*yr9percent*(1+$K$15)^8))),(F53*O329*yr9percent*(1+$K$15)^8)),0),0)),"")</f>
        <v/>
      </c>
      <c r="L329" s="115" t="str">
        <f t="shared" si="62"/>
        <v/>
      </c>
      <c r="M329" s="266" t="str">
        <f t="shared" si="58"/>
        <v/>
      </c>
      <c r="N329" s="118" t="str">
        <f t="shared" si="59"/>
        <v/>
      </c>
      <c r="O329" s="185" t="str">
        <f t="shared" si="60"/>
        <v/>
      </c>
      <c r="P329" s="679"/>
      <c r="Q329" s="679"/>
      <c r="R329" s="674"/>
      <c r="S329" s="674"/>
      <c r="T329" s="674"/>
      <c r="U329" s="674"/>
      <c r="V329" s="674"/>
      <c r="W329" s="679"/>
      <c r="X329" s="679"/>
      <c r="Y329" s="674"/>
      <c r="Z329" s="674"/>
      <c r="AA329" s="674"/>
    </row>
    <row r="330" spans="1:27" x14ac:dyDescent="0.25">
      <c r="A330" s="114" t="str">
        <f t="shared" si="51"/>
        <v/>
      </c>
      <c r="B330" s="130" t="str">
        <f t="shared" si="52"/>
        <v/>
      </c>
      <c r="C330" s="130" t="str">
        <f>IFERROR(IF(ROUND(IF(totalyrs&gt;7,IF('Salary Detail'!$F$18="X",(IF(F54*(1+$K$15)^7&gt; MAXSAL,(MAXSAL*G330),(F54*G330*yr8percent*(1+$K$15)^7))),(F54*G330*yr8percent*(1+$K$15)^7)),0),0)=0,"",ROUND(IF(totalyrs&gt;7,IF('Salary Detail'!$F$18="X",(IF(F54*(1+$K$15)^7&gt; MAXSAL,(MAXSAL*G330),(F54*G330*yr8percent*(1+$K$15)^7))),(F54*G330*yr8percent*(1+$K$15)^7)),0),0)),"")</f>
        <v/>
      </c>
      <c r="D330" s="115" t="str">
        <f t="shared" si="61"/>
        <v/>
      </c>
      <c r="E330" s="266" t="str">
        <f t="shared" si="53"/>
        <v/>
      </c>
      <c r="F330" s="116" t="str">
        <f t="shared" si="54"/>
        <v/>
      </c>
      <c r="G330" s="183" t="str">
        <f t="shared" si="55"/>
        <v/>
      </c>
      <c r="H330" s="910" t="str">
        <f t="shared" si="56"/>
        <v/>
      </c>
      <c r="I330" s="939"/>
      <c r="J330" s="271" t="str">
        <f t="shared" si="57"/>
        <v/>
      </c>
      <c r="K330" s="131" t="str">
        <f>IFERROR(IF(ROUND(IF(totalyrs&gt;8,IF('Salary Detail'!$F$18="X",(IF(F54*(1+$K$15)^8&gt; MAXSAL,(MAXSAL*O330),(F54*O330*yr9percent*(1+$K$15)^8))),(F54*O330*yr9percent*(1+$K$15)^8)),0),0)=0,"",ROUND(IF(totalyrs&gt;8,IF('Salary Detail'!$F$18="X",(IF(F54*(1+$K$15)^8&gt; MAXSAL,(MAXSAL*O330),(F54*O330*yr9percent*(1+$K$15)^8))),(F54*O330*yr9percent*(1+$K$15)^8)),0),0)),"")</f>
        <v/>
      </c>
      <c r="L330" s="115" t="str">
        <f t="shared" si="62"/>
        <v/>
      </c>
      <c r="M330" s="266" t="str">
        <f t="shared" si="58"/>
        <v/>
      </c>
      <c r="N330" s="118" t="str">
        <f t="shared" si="59"/>
        <v/>
      </c>
      <c r="O330" s="185" t="str">
        <f t="shared" si="60"/>
        <v/>
      </c>
      <c r="P330" s="679"/>
      <c r="Q330" s="679"/>
      <c r="R330" s="674"/>
      <c r="S330" s="674"/>
      <c r="T330" s="674"/>
      <c r="U330" s="674"/>
      <c r="V330" s="674"/>
      <c r="W330" s="679"/>
      <c r="X330" s="679"/>
      <c r="Y330" s="674"/>
      <c r="Z330" s="674"/>
      <c r="AA330" s="674"/>
    </row>
    <row r="331" spans="1:27" x14ac:dyDescent="0.25">
      <c r="A331" s="114" t="str">
        <f t="shared" si="51"/>
        <v/>
      </c>
      <c r="B331" s="130" t="str">
        <f t="shared" si="52"/>
        <v/>
      </c>
      <c r="C331" s="130" t="str">
        <f>IFERROR(IF(ROUND(IF(totalyrs&gt;7,IF('Salary Detail'!$F$18="X",(IF(F55*(1+$K$15)^7&gt; MAXSAL,(MAXSAL*G331),(F55*G331*yr8percent*(1+$K$15)^7))),(F55*G331*yr8percent*(1+$K$15)^7)),0),0)=0,"",ROUND(IF(totalyrs&gt;7,IF('Salary Detail'!$F$18="X",(IF(F55*(1+$K$15)^7&gt; MAXSAL,(MAXSAL*G331),(F55*G331*yr8percent*(1+$K$15)^7))),(F55*G331*yr8percent*(1+$K$15)^7)),0),0)),"")</f>
        <v/>
      </c>
      <c r="D331" s="115" t="str">
        <f t="shared" si="61"/>
        <v/>
      </c>
      <c r="E331" s="266" t="str">
        <f t="shared" si="53"/>
        <v/>
      </c>
      <c r="F331" s="116" t="str">
        <f t="shared" si="54"/>
        <v/>
      </c>
      <c r="G331" s="183" t="str">
        <f t="shared" si="55"/>
        <v/>
      </c>
      <c r="H331" s="910" t="str">
        <f t="shared" si="56"/>
        <v/>
      </c>
      <c r="I331" s="939"/>
      <c r="J331" s="271" t="str">
        <f t="shared" si="57"/>
        <v/>
      </c>
      <c r="K331" s="131" t="str">
        <f>IFERROR(IF(ROUND(IF(totalyrs&gt;8,IF('Salary Detail'!$F$18="X",(IF(F55*(1+$K$15)^8&gt; MAXSAL,(MAXSAL*O331),(F55*O331*yr9percent*(1+$K$15)^8))),(F55*O331*yr9percent*(1+$K$15)^8)),0),0)=0,"",ROUND(IF(totalyrs&gt;8,IF('Salary Detail'!$F$18="X",(IF(F55*(1+$K$15)^8&gt; MAXSAL,(MAXSAL*O331),(F55*O331*yr9percent*(1+$K$15)^8))),(F55*O331*yr9percent*(1+$K$15)^8)),0),0)),"")</f>
        <v/>
      </c>
      <c r="L331" s="115" t="str">
        <f t="shared" si="62"/>
        <v/>
      </c>
      <c r="M331" s="266" t="str">
        <f t="shared" si="58"/>
        <v/>
      </c>
      <c r="N331" s="118" t="str">
        <f t="shared" si="59"/>
        <v/>
      </c>
      <c r="O331" s="185" t="str">
        <f t="shared" si="60"/>
        <v/>
      </c>
      <c r="P331" s="679"/>
      <c r="Q331" s="679"/>
      <c r="R331" s="674"/>
      <c r="S331" s="674"/>
      <c r="T331" s="674"/>
      <c r="U331" s="674"/>
      <c r="V331" s="674"/>
      <c r="W331" s="679"/>
      <c r="X331" s="679"/>
      <c r="Y331" s="674"/>
      <c r="Z331" s="674"/>
      <c r="AA331" s="674"/>
    </row>
    <row r="332" spans="1:27" x14ac:dyDescent="0.25">
      <c r="A332" s="114" t="str">
        <f t="shared" si="51"/>
        <v/>
      </c>
      <c r="B332" s="130" t="str">
        <f t="shared" si="52"/>
        <v/>
      </c>
      <c r="C332" s="130" t="str">
        <f>IFERROR(IF(ROUND(IF(totalyrs&gt;7,IF('Salary Detail'!$F$18="X",(IF(F56*(1+$K$15)^7&gt; MAXSAL,(MAXSAL*G332),(F56*G332*yr8percent*(1+$K$15)^7))),(F56*G332*yr8percent*(1+$K$15)^7)),0),0)=0,"",ROUND(IF(totalyrs&gt;7,IF('Salary Detail'!$F$18="X",(IF(F56*(1+$K$15)^7&gt; MAXSAL,(MAXSAL*G332),(F56*G332*yr8percent*(1+$K$15)^7))),(F56*G332*yr8percent*(1+$K$15)^7)),0),0)),"")</f>
        <v/>
      </c>
      <c r="D332" s="115" t="str">
        <f t="shared" si="61"/>
        <v/>
      </c>
      <c r="E332" s="266" t="str">
        <f t="shared" si="53"/>
        <v/>
      </c>
      <c r="F332" s="116" t="str">
        <f t="shared" si="54"/>
        <v/>
      </c>
      <c r="G332" s="183" t="str">
        <f t="shared" si="55"/>
        <v/>
      </c>
      <c r="H332" s="910" t="str">
        <f t="shared" si="56"/>
        <v/>
      </c>
      <c r="I332" s="939"/>
      <c r="J332" s="271" t="str">
        <f t="shared" si="57"/>
        <v/>
      </c>
      <c r="K332" s="131" t="str">
        <f>IFERROR(IF(ROUND(IF(totalyrs&gt;8,IF('Salary Detail'!$F$18="X",(IF(F56*(1+$K$15)^8&gt; MAXSAL,(MAXSAL*O332),(F56*O332*yr9percent*(1+$K$15)^8))),(F56*O332*yr9percent*(1+$K$15)^8)),0),0)=0,"",ROUND(IF(totalyrs&gt;8,IF('Salary Detail'!$F$18="X",(IF(F56*(1+$K$15)^8&gt; MAXSAL,(MAXSAL*O332),(F56*O332*yr9percent*(1+$K$15)^8))),(F56*O332*yr9percent*(1+$K$15)^8)),0),0)),"")</f>
        <v/>
      </c>
      <c r="L332" s="115" t="str">
        <f t="shared" si="62"/>
        <v/>
      </c>
      <c r="M332" s="266" t="str">
        <f t="shared" si="58"/>
        <v/>
      </c>
      <c r="N332" s="118" t="str">
        <f t="shared" si="59"/>
        <v/>
      </c>
      <c r="O332" s="185" t="str">
        <f t="shared" si="60"/>
        <v/>
      </c>
      <c r="P332" s="679"/>
      <c r="Q332" s="679"/>
      <c r="R332" s="674"/>
      <c r="S332" s="674"/>
      <c r="T332" s="674"/>
      <c r="U332" s="674"/>
      <c r="V332" s="674"/>
      <c r="W332" s="679"/>
      <c r="X332" s="679"/>
      <c r="Y332" s="674"/>
      <c r="Z332" s="674"/>
      <c r="AA332" s="674"/>
    </row>
    <row r="333" spans="1:27" x14ac:dyDescent="0.25">
      <c r="A333" s="114" t="str">
        <f t="shared" si="51"/>
        <v/>
      </c>
      <c r="B333" s="130" t="str">
        <f t="shared" si="52"/>
        <v/>
      </c>
      <c r="C333" s="130" t="str">
        <f>IFERROR(IF(ROUND(IF(totalyrs&gt;7,IF('Salary Detail'!$F$18="X",(IF(F57*(1+$K$15)^7&gt; MAXSAL,(MAXSAL*G333),(F57*G333*yr8percent*(1+$K$15)^7))),(F57*G333*yr8percent*(1+$K$15)^7)),0),0)=0,"",ROUND(IF(totalyrs&gt;7,IF('Salary Detail'!$F$18="X",(IF(F57*(1+$K$15)^7&gt; MAXSAL,(MAXSAL*G333),(F57*G333*yr8percent*(1+$K$15)^7))),(F57*G333*yr8percent*(1+$K$15)^7)),0),0)),"")</f>
        <v/>
      </c>
      <c r="D333" s="115" t="str">
        <f t="shared" si="61"/>
        <v/>
      </c>
      <c r="E333" s="266" t="str">
        <f t="shared" si="53"/>
        <v/>
      </c>
      <c r="F333" s="116" t="str">
        <f t="shared" si="54"/>
        <v/>
      </c>
      <c r="G333" s="183" t="str">
        <f t="shared" si="55"/>
        <v/>
      </c>
      <c r="H333" s="910" t="str">
        <f t="shared" si="56"/>
        <v/>
      </c>
      <c r="I333" s="939"/>
      <c r="J333" s="271" t="str">
        <f t="shared" si="57"/>
        <v/>
      </c>
      <c r="K333" s="131" t="str">
        <f>IFERROR(IF(ROUND(IF(totalyrs&gt;8,IF('Salary Detail'!$F$18="X",(IF(F57*(1+$K$15)^8&gt; MAXSAL,(MAXSAL*O333),(F57*O333*yr9percent*(1+$K$15)^8))),(F57*O333*yr9percent*(1+$K$15)^8)),0),0)=0,"",ROUND(IF(totalyrs&gt;8,IF('Salary Detail'!$F$18="X",(IF(F57*(1+$K$15)^8&gt; MAXSAL,(MAXSAL*O333),(F57*O333*yr9percent*(1+$K$15)^8))),(F57*O333*yr9percent*(1+$K$15)^8)),0),0)),"")</f>
        <v/>
      </c>
      <c r="L333" s="115" t="str">
        <f t="shared" si="62"/>
        <v/>
      </c>
      <c r="M333" s="266" t="str">
        <f t="shared" si="58"/>
        <v/>
      </c>
      <c r="N333" s="118" t="str">
        <f t="shared" si="59"/>
        <v/>
      </c>
      <c r="O333" s="185" t="str">
        <f t="shared" si="60"/>
        <v/>
      </c>
      <c r="P333" s="679"/>
      <c r="Q333" s="679"/>
      <c r="R333" s="674"/>
      <c r="S333" s="674"/>
      <c r="T333" s="674"/>
      <c r="U333" s="674"/>
      <c r="V333" s="674"/>
      <c r="W333" s="679"/>
      <c r="X333" s="679"/>
      <c r="Y333" s="674"/>
      <c r="Z333" s="674"/>
      <c r="AA333" s="674"/>
    </row>
    <row r="334" spans="1:27" x14ac:dyDescent="0.25">
      <c r="A334" s="114" t="str">
        <f t="shared" si="51"/>
        <v/>
      </c>
      <c r="B334" s="130" t="str">
        <f t="shared" si="52"/>
        <v/>
      </c>
      <c r="C334" s="130" t="str">
        <f>IFERROR(IF(ROUND(IF(totalyrs&gt;7,IF('Salary Detail'!$F$18="X",(IF(F58*(1+$K$15)^7&gt; MAXSAL,(MAXSAL*G334),(F58*G334*yr8percent*(1+$K$15)^7))),(F58*G334*yr8percent*(1+$K$15)^7)),0),0)=0,"",ROUND(IF(totalyrs&gt;7,IF('Salary Detail'!$F$18="X",(IF(F58*(1+$K$15)^7&gt; MAXSAL,(MAXSAL*G334),(F58*G334*yr8percent*(1+$K$15)^7))),(F58*G334*yr8percent*(1+$K$15)^7)),0),0)),"")</f>
        <v/>
      </c>
      <c r="D334" s="115" t="str">
        <f t="shared" si="61"/>
        <v/>
      </c>
      <c r="E334" s="266" t="str">
        <f t="shared" si="53"/>
        <v/>
      </c>
      <c r="F334" s="116" t="str">
        <f t="shared" si="54"/>
        <v/>
      </c>
      <c r="G334" s="183" t="str">
        <f t="shared" si="55"/>
        <v/>
      </c>
      <c r="H334" s="910" t="str">
        <f t="shared" si="56"/>
        <v/>
      </c>
      <c r="I334" s="939"/>
      <c r="J334" s="271" t="str">
        <f t="shared" si="57"/>
        <v/>
      </c>
      <c r="K334" s="131" t="str">
        <f>IFERROR(IF(ROUND(IF(totalyrs&gt;8,IF('Salary Detail'!$F$18="X",(IF(F58*(1+$K$15)^8&gt; MAXSAL,(MAXSAL*O334),(F58*O334*yr9percent*(1+$K$15)^8))),(F58*O334*yr9percent*(1+$K$15)^8)),0),0)=0,"",ROUND(IF(totalyrs&gt;8,IF('Salary Detail'!$F$18="X",(IF(F58*(1+$K$15)^8&gt; MAXSAL,(MAXSAL*O334),(F58*O334*yr9percent*(1+$K$15)^8))),(F58*O334*yr9percent*(1+$K$15)^8)),0),0)),"")</f>
        <v/>
      </c>
      <c r="L334" s="115" t="str">
        <f t="shared" si="62"/>
        <v/>
      </c>
      <c r="M334" s="266" t="str">
        <f t="shared" si="58"/>
        <v/>
      </c>
      <c r="N334" s="118" t="str">
        <f t="shared" si="59"/>
        <v/>
      </c>
      <c r="O334" s="185" t="str">
        <f t="shared" si="60"/>
        <v/>
      </c>
      <c r="P334" s="679"/>
      <c r="Q334" s="679"/>
      <c r="R334" s="674"/>
      <c r="S334" s="674"/>
      <c r="T334" s="674"/>
      <c r="U334" s="674"/>
      <c r="V334" s="674"/>
      <c r="W334" s="679"/>
      <c r="X334" s="679"/>
      <c r="Y334" s="674"/>
      <c r="Z334" s="674"/>
      <c r="AA334" s="674"/>
    </row>
    <row r="335" spans="1:27" x14ac:dyDescent="0.25">
      <c r="A335" s="114" t="str">
        <f t="shared" si="51"/>
        <v/>
      </c>
      <c r="B335" s="130" t="str">
        <f t="shared" si="52"/>
        <v/>
      </c>
      <c r="C335" s="130" t="str">
        <f>IFERROR(IF(ROUND(IF(totalyrs&gt;7,IF('Salary Detail'!$F$18="X",(IF(F59*(1+$K$15)^7&gt; MAXSAL,(MAXSAL*G335),(F59*G335*yr8percent*(1+$K$15)^7))),(F59*G335*yr8percent*(1+$K$15)^7)),0),0)=0,"",ROUND(IF(totalyrs&gt;7,IF('Salary Detail'!$F$18="X",(IF(F59*(1+$K$15)^7&gt; MAXSAL,(MAXSAL*G335),(F59*G335*yr8percent*(1+$K$15)^7))),(F59*G335*yr8percent*(1+$K$15)^7)),0),0)),"")</f>
        <v/>
      </c>
      <c r="D335" s="115" t="str">
        <f t="shared" si="61"/>
        <v/>
      </c>
      <c r="E335" s="266" t="str">
        <f t="shared" si="53"/>
        <v/>
      </c>
      <c r="F335" s="116" t="str">
        <f t="shared" si="54"/>
        <v/>
      </c>
      <c r="G335" s="183" t="str">
        <f t="shared" si="55"/>
        <v/>
      </c>
      <c r="H335" s="910" t="str">
        <f t="shared" si="56"/>
        <v/>
      </c>
      <c r="I335" s="939"/>
      <c r="J335" s="271" t="str">
        <f t="shared" si="57"/>
        <v/>
      </c>
      <c r="K335" s="131" t="str">
        <f>IFERROR(IF(ROUND(IF(totalyrs&gt;8,IF('Salary Detail'!$F$18="X",(IF(F59*(1+$K$15)^8&gt; MAXSAL,(MAXSAL*O335),(F59*O335*yr9percent*(1+$K$15)^8))),(F59*O335*yr9percent*(1+$K$15)^8)),0),0)=0,"",ROUND(IF(totalyrs&gt;8,IF('Salary Detail'!$F$18="X",(IF(F59*(1+$K$15)^8&gt; MAXSAL,(MAXSAL*O335),(F59*O335*yr9percent*(1+$K$15)^8))),(F59*O335*yr9percent*(1+$K$15)^8)),0),0)),"")</f>
        <v/>
      </c>
      <c r="L335" s="115" t="str">
        <f t="shared" si="62"/>
        <v/>
      </c>
      <c r="M335" s="266" t="str">
        <f t="shared" si="58"/>
        <v/>
      </c>
      <c r="N335" s="118" t="str">
        <f t="shared" si="59"/>
        <v/>
      </c>
      <c r="O335" s="185" t="str">
        <f t="shared" si="60"/>
        <v/>
      </c>
      <c r="P335" s="679"/>
      <c r="Q335" s="679"/>
      <c r="R335" s="674"/>
      <c r="S335" s="674"/>
      <c r="T335" s="674"/>
      <c r="U335" s="674"/>
      <c r="V335" s="674"/>
      <c r="W335" s="679"/>
      <c r="X335" s="679"/>
      <c r="Y335" s="674"/>
      <c r="Z335" s="674"/>
      <c r="AA335" s="674"/>
    </row>
    <row r="336" spans="1:27" x14ac:dyDescent="0.25">
      <c r="A336" s="114" t="str">
        <f t="shared" si="51"/>
        <v/>
      </c>
      <c r="B336" s="130" t="str">
        <f t="shared" si="52"/>
        <v/>
      </c>
      <c r="C336" s="130" t="str">
        <f>IFERROR(IF(ROUND(IF(totalyrs&gt;7,IF('Salary Detail'!$F$18="X",(IF(F60*(1+$K$15)^7&gt; MAXSAL,(MAXSAL*G336),(F60*G336*yr8percent*(1+$K$15)^7))),(F60*G336*yr8percent*(1+$K$15)^7)),0),0)=0,"",ROUND(IF(totalyrs&gt;7,IF('Salary Detail'!$F$18="X",(IF(F60*(1+$K$15)^7&gt; MAXSAL,(MAXSAL*G336),(F60*G336*yr8percent*(1+$K$15)^7))),(F60*G336*yr8percent*(1+$K$15)^7)),0),0)),"")</f>
        <v/>
      </c>
      <c r="D336" s="115" t="str">
        <f t="shared" si="61"/>
        <v/>
      </c>
      <c r="E336" s="266" t="str">
        <f t="shared" si="53"/>
        <v/>
      </c>
      <c r="F336" s="116" t="str">
        <f t="shared" si="54"/>
        <v/>
      </c>
      <c r="G336" s="183" t="str">
        <f t="shared" si="55"/>
        <v/>
      </c>
      <c r="H336" s="910" t="str">
        <f t="shared" si="56"/>
        <v/>
      </c>
      <c r="I336" s="939"/>
      <c r="J336" s="271" t="str">
        <f t="shared" si="57"/>
        <v/>
      </c>
      <c r="K336" s="131" t="str">
        <f>IFERROR(IF(ROUND(IF(totalyrs&gt;8,IF('Salary Detail'!$F$18="X",(IF(F60*(1+$K$15)^8&gt; MAXSAL,(MAXSAL*O336),(F60*O336*yr9percent*(1+$K$15)^8))),(F60*O336*yr9percent*(1+$K$15)^8)),0),0)=0,"",ROUND(IF(totalyrs&gt;8,IF('Salary Detail'!$F$18="X",(IF(F60*(1+$K$15)^8&gt; MAXSAL,(MAXSAL*O336),(F60*O336*yr9percent*(1+$K$15)^8))),(F60*O336*yr9percent*(1+$K$15)^8)),0),0)),"")</f>
        <v/>
      </c>
      <c r="L336" s="115" t="str">
        <f t="shared" si="62"/>
        <v/>
      </c>
      <c r="M336" s="266" t="str">
        <f t="shared" si="58"/>
        <v/>
      </c>
      <c r="N336" s="118" t="str">
        <f t="shared" si="59"/>
        <v/>
      </c>
      <c r="O336" s="185" t="str">
        <f t="shared" si="60"/>
        <v/>
      </c>
      <c r="P336" s="679"/>
      <c r="Q336" s="679"/>
      <c r="R336" s="674"/>
      <c r="S336" s="674"/>
      <c r="T336" s="674"/>
      <c r="U336" s="674"/>
      <c r="V336" s="674"/>
      <c r="W336" s="679"/>
      <c r="X336" s="679"/>
      <c r="Y336" s="674"/>
      <c r="Z336" s="674"/>
      <c r="AA336" s="674"/>
    </row>
    <row r="337" spans="1:27" x14ac:dyDescent="0.25">
      <c r="A337" s="114" t="str">
        <f t="shared" si="51"/>
        <v/>
      </c>
      <c r="B337" s="130" t="str">
        <f t="shared" si="52"/>
        <v/>
      </c>
      <c r="C337" s="130" t="str">
        <f>IFERROR(IF(ROUND(IF(totalyrs&gt;7,IF('Salary Detail'!$F$18="X",(IF(F61*(1+$K$15)^7&gt; MAXSAL,(MAXSAL*G337),(F61*G337*yr8percent*(1+$K$15)^7))),(F61*G337*yr8percent*(1+$K$15)^7)),0),0)=0,"",ROUND(IF(totalyrs&gt;7,IF('Salary Detail'!$F$18="X",(IF(F61*(1+$K$15)^7&gt; MAXSAL,(MAXSAL*G337),(F61*G337*yr8percent*(1+$K$15)^7))),(F61*G337*yr8percent*(1+$K$15)^7)),0),0)),"")</f>
        <v/>
      </c>
      <c r="D337" s="115" t="str">
        <f t="shared" si="61"/>
        <v/>
      </c>
      <c r="E337" s="266" t="str">
        <f t="shared" si="53"/>
        <v/>
      </c>
      <c r="F337" s="116" t="str">
        <f t="shared" si="54"/>
        <v/>
      </c>
      <c r="G337" s="183" t="str">
        <f t="shared" si="55"/>
        <v/>
      </c>
      <c r="H337" s="910" t="str">
        <f t="shared" si="56"/>
        <v/>
      </c>
      <c r="I337" s="939"/>
      <c r="J337" s="271" t="str">
        <f t="shared" si="57"/>
        <v/>
      </c>
      <c r="K337" s="131" t="str">
        <f>IFERROR(IF(ROUND(IF(totalyrs&gt;8,IF('Salary Detail'!$F$18="X",(IF(F61*(1+$K$15)^8&gt; MAXSAL,(MAXSAL*O337),(F61*O337*yr9percent*(1+$K$15)^8))),(F61*O337*yr9percent*(1+$K$15)^8)),0),0)=0,"",ROUND(IF(totalyrs&gt;8,IF('Salary Detail'!$F$18="X",(IF(F61*(1+$K$15)^8&gt; MAXSAL,(MAXSAL*O337),(F61*O337*yr9percent*(1+$K$15)^8))),(F61*O337*yr9percent*(1+$K$15)^8)),0),0)),"")</f>
        <v/>
      </c>
      <c r="L337" s="115" t="str">
        <f t="shared" si="62"/>
        <v/>
      </c>
      <c r="M337" s="266" t="str">
        <f t="shared" si="58"/>
        <v/>
      </c>
      <c r="N337" s="118" t="str">
        <f t="shared" si="59"/>
        <v/>
      </c>
      <c r="O337" s="185" t="str">
        <f t="shared" si="60"/>
        <v/>
      </c>
      <c r="P337" s="679"/>
      <c r="Q337" s="679"/>
      <c r="R337" s="674"/>
      <c r="S337" s="674"/>
      <c r="T337" s="674"/>
      <c r="U337" s="674"/>
      <c r="V337" s="674"/>
      <c r="W337" s="679"/>
      <c r="X337" s="679"/>
      <c r="Y337" s="674"/>
      <c r="Z337" s="674"/>
      <c r="AA337" s="674"/>
    </row>
    <row r="338" spans="1:27" x14ac:dyDescent="0.25">
      <c r="A338" s="114" t="str">
        <f t="shared" si="51"/>
        <v/>
      </c>
      <c r="B338" s="130" t="str">
        <f t="shared" si="52"/>
        <v/>
      </c>
      <c r="C338" s="130" t="str">
        <f>IFERROR(IF(ROUND(IF(totalyrs&gt;7,IF('Salary Detail'!$F$18="X",(IF(F62*(1+$K$15)^7&gt; MAXSAL,(MAXSAL*G338),(F62*G338*yr8percent*(1+$K$15)^7))),(F62*G338*yr8percent*(1+$K$15)^7)),0),0)=0,"",ROUND(IF(totalyrs&gt;7,IF('Salary Detail'!$F$18="X",(IF(F62*(1+$K$15)^7&gt; MAXSAL,(MAXSAL*G338),(F62*G338*yr8percent*(1+$K$15)^7))),(F62*G338*yr8percent*(1+$K$15)^7)),0),0)),"")</f>
        <v/>
      </c>
      <c r="D338" s="115" t="str">
        <f t="shared" si="61"/>
        <v/>
      </c>
      <c r="E338" s="266" t="str">
        <f t="shared" si="53"/>
        <v/>
      </c>
      <c r="F338" s="116" t="str">
        <f t="shared" si="54"/>
        <v/>
      </c>
      <c r="G338" s="183" t="str">
        <f t="shared" si="55"/>
        <v/>
      </c>
      <c r="H338" s="910" t="str">
        <f t="shared" si="56"/>
        <v/>
      </c>
      <c r="I338" s="939"/>
      <c r="J338" s="271" t="str">
        <f t="shared" si="57"/>
        <v/>
      </c>
      <c r="K338" s="131" t="str">
        <f>IFERROR(IF(ROUND(IF(totalyrs&gt;8,IF('Salary Detail'!$F$18="X",(IF(F62*(1+$K$15)^8&gt; MAXSAL,(MAXSAL*O338),(F62*O338*yr9percent*(1+$K$15)^8))),(F62*O338*yr9percent*(1+$K$15)^8)),0),0)=0,"",ROUND(IF(totalyrs&gt;8,IF('Salary Detail'!$F$18="X",(IF(F62*(1+$K$15)^8&gt; MAXSAL,(MAXSAL*O338),(F62*O338*yr9percent*(1+$K$15)^8))),(F62*O338*yr9percent*(1+$K$15)^8)),0),0)),"")</f>
        <v/>
      </c>
      <c r="L338" s="115" t="str">
        <f t="shared" si="62"/>
        <v/>
      </c>
      <c r="M338" s="266" t="str">
        <f t="shared" si="58"/>
        <v/>
      </c>
      <c r="N338" s="118" t="str">
        <f t="shared" si="59"/>
        <v/>
      </c>
      <c r="O338" s="185" t="str">
        <f t="shared" si="60"/>
        <v/>
      </c>
      <c r="P338" s="679"/>
      <c r="Q338" s="679"/>
      <c r="R338" s="674"/>
      <c r="S338" s="674"/>
      <c r="T338" s="674"/>
      <c r="U338" s="674"/>
      <c r="V338" s="674"/>
      <c r="W338" s="674"/>
      <c r="X338" s="674"/>
      <c r="Y338" s="674"/>
      <c r="Z338" s="674"/>
      <c r="AA338" s="674"/>
    </row>
    <row r="339" spans="1:27" x14ac:dyDescent="0.25">
      <c r="A339" s="215" t="s">
        <v>50</v>
      </c>
      <c r="B339" s="281"/>
      <c r="C339" s="226">
        <f>SUM(C299:C338)</f>
        <v>0</v>
      </c>
      <c r="D339" s="221">
        <f>SUM(D299:D338)</f>
        <v>0</v>
      </c>
      <c r="E339" s="278"/>
      <c r="F339" s="218">
        <f t="shared" ref="F339" si="63">C339+D339</f>
        <v>0</v>
      </c>
      <c r="G339" s="219"/>
      <c r="H339" s="215" t="s">
        <v>50</v>
      </c>
      <c r="I339" s="220"/>
      <c r="J339" s="282"/>
      <c r="K339" s="221">
        <f>SUM(K299:K338)</f>
        <v>0</v>
      </c>
      <c r="L339" s="221">
        <f>SUM(L299:L338)</f>
        <v>0</v>
      </c>
      <c r="M339" s="151"/>
      <c r="N339" s="221">
        <f t="shared" ref="N339" si="64">K339+L339</f>
        <v>0</v>
      </c>
      <c r="O339" s="207"/>
      <c r="P339" s="679"/>
      <c r="Q339" s="679"/>
      <c r="R339" s="687"/>
      <c r="S339" s="674"/>
      <c r="T339" s="674"/>
      <c r="U339" s="674"/>
      <c r="V339" s="674"/>
      <c r="W339" s="674"/>
      <c r="X339" s="674"/>
      <c r="Y339" s="674"/>
      <c r="Z339" s="674"/>
      <c r="AA339" s="674"/>
    </row>
    <row r="340" spans="1:27" x14ac:dyDescent="0.25">
      <c r="A340" s="209"/>
      <c r="B340" s="209"/>
      <c r="C340" s="209"/>
      <c r="D340" s="209"/>
      <c r="E340" s="209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687"/>
      <c r="Q340" s="687"/>
      <c r="R340" s="687"/>
      <c r="S340" s="674"/>
      <c r="T340" s="674"/>
      <c r="U340" s="674"/>
      <c r="V340" s="674"/>
      <c r="W340" s="674"/>
      <c r="X340" s="674"/>
      <c r="Y340" s="674"/>
      <c r="Z340" s="674"/>
      <c r="AA340" s="674"/>
    </row>
    <row r="341" spans="1:27" x14ac:dyDescent="0.25">
      <c r="A341" s="209"/>
      <c r="B341" s="209"/>
      <c r="C341" s="209"/>
      <c r="D341" s="209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687"/>
      <c r="Q341" s="687"/>
      <c r="R341" s="687"/>
      <c r="S341" s="674"/>
      <c r="T341" s="674"/>
      <c r="U341" s="674"/>
      <c r="V341" s="674"/>
      <c r="W341" s="674"/>
      <c r="X341" s="674"/>
      <c r="Y341" s="674"/>
      <c r="Z341" s="674"/>
      <c r="AA341" s="674"/>
    </row>
    <row r="342" spans="1:27" x14ac:dyDescent="0.25">
      <c r="A342" s="209"/>
      <c r="B342" s="209"/>
      <c r="C342" s="209"/>
      <c r="D342" s="209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687"/>
      <c r="Q342" s="687"/>
      <c r="R342" s="687"/>
      <c r="S342" s="674"/>
      <c r="T342" s="674"/>
      <c r="U342" s="674"/>
      <c r="V342" s="674"/>
      <c r="W342" s="674"/>
      <c r="X342" s="674"/>
      <c r="Y342" s="674"/>
      <c r="Z342" s="674"/>
      <c r="AA342" s="674"/>
    </row>
    <row r="343" spans="1:27" x14ac:dyDescent="0.25">
      <c r="A343" s="209"/>
      <c r="B343" s="209"/>
      <c r="C343" s="209"/>
      <c r="D343" s="209"/>
      <c r="E343" s="209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687"/>
      <c r="Q343" s="687"/>
      <c r="R343" s="687"/>
      <c r="S343" s="674"/>
      <c r="T343" s="674"/>
      <c r="U343" s="674"/>
      <c r="V343" s="674"/>
      <c r="W343" s="674"/>
      <c r="X343" s="674"/>
      <c r="Y343" s="674"/>
      <c r="Z343" s="674"/>
      <c r="AA343" s="674"/>
    </row>
    <row r="344" spans="1:27" x14ac:dyDescent="0.25">
      <c r="A344" s="209"/>
      <c r="B344" s="209"/>
      <c r="C344" s="209"/>
      <c r="D344" s="209"/>
      <c r="E344" s="209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687"/>
      <c r="Q344" s="687"/>
      <c r="R344" s="687"/>
      <c r="S344" s="674"/>
      <c r="T344" s="674"/>
      <c r="U344" s="674"/>
      <c r="V344" s="674"/>
      <c r="W344" s="674"/>
      <c r="X344" s="674"/>
      <c r="Y344" s="674"/>
      <c r="Z344" s="674"/>
      <c r="AA344" s="674"/>
    </row>
    <row r="345" spans="1:27" x14ac:dyDescent="0.25">
      <c r="A345" s="209"/>
      <c r="B345" s="209"/>
      <c r="C345" s="209"/>
      <c r="D345" s="209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687"/>
      <c r="Q345" s="687"/>
      <c r="R345" s="687"/>
      <c r="S345" s="674"/>
      <c r="T345" s="674"/>
      <c r="U345" s="674"/>
      <c r="V345" s="674"/>
      <c r="W345" s="674"/>
      <c r="X345" s="674"/>
      <c r="Y345" s="674"/>
      <c r="Z345" s="674"/>
      <c r="AA345" s="674"/>
    </row>
    <row r="346" spans="1:27" x14ac:dyDescent="0.25">
      <c r="A346" s="209"/>
      <c r="B346" s="209"/>
      <c r="C346" s="209"/>
      <c r="D346" s="209"/>
      <c r="E346" s="209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687"/>
      <c r="Q346" s="687"/>
      <c r="R346" s="687"/>
      <c r="S346" s="674"/>
      <c r="T346" s="674"/>
      <c r="U346" s="674"/>
      <c r="V346" s="674"/>
      <c r="W346" s="674"/>
      <c r="X346" s="674"/>
      <c r="Y346" s="674"/>
      <c r="Z346" s="674"/>
      <c r="AA346" s="674"/>
    </row>
    <row r="347" spans="1:27" x14ac:dyDescent="0.25">
      <c r="A347" s="209"/>
      <c r="B347" s="209"/>
      <c r="C347" s="209"/>
      <c r="D347" s="209"/>
      <c r="E347" s="209"/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687"/>
      <c r="Q347" s="687"/>
      <c r="R347" s="687"/>
      <c r="S347" s="674"/>
      <c r="T347" s="674"/>
      <c r="U347" s="674"/>
      <c r="V347" s="674"/>
      <c r="W347" s="674"/>
      <c r="X347" s="674"/>
      <c r="Y347" s="674"/>
      <c r="Z347" s="674"/>
      <c r="AA347" s="674"/>
    </row>
    <row r="348" spans="1:27" x14ac:dyDescent="0.25">
      <c r="A348" s="209"/>
      <c r="B348" s="209"/>
      <c r="C348" s="209"/>
      <c r="D348" s="209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687"/>
      <c r="Q348" s="687"/>
      <c r="R348" s="687"/>
      <c r="S348" s="674"/>
      <c r="T348" s="674"/>
      <c r="U348" s="674"/>
      <c r="V348" s="674"/>
      <c r="W348" s="674"/>
      <c r="X348" s="674"/>
      <c r="Y348" s="674"/>
      <c r="Z348" s="674"/>
      <c r="AA348" s="674"/>
    </row>
    <row r="349" spans="1:27" x14ac:dyDescent="0.25">
      <c r="A349" s="209"/>
      <c r="B349" s="209"/>
      <c r="C349" s="209"/>
      <c r="D349" s="209"/>
      <c r="E349" s="209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687"/>
      <c r="Q349" s="687"/>
      <c r="R349" s="687"/>
      <c r="S349" s="674"/>
      <c r="T349" s="674"/>
      <c r="U349" s="674"/>
      <c r="V349" s="674"/>
      <c r="W349" s="674"/>
      <c r="X349" s="674"/>
      <c r="Y349" s="674"/>
      <c r="Z349" s="674"/>
      <c r="AA349" s="674"/>
    </row>
    <row r="350" spans="1:27" x14ac:dyDescent="0.25">
      <c r="A350" s="209"/>
      <c r="B350" s="209"/>
      <c r="C350" s="209"/>
      <c r="D350" s="209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687"/>
      <c r="Q350" s="687"/>
      <c r="R350" s="687"/>
      <c r="S350" s="674"/>
      <c r="T350" s="674"/>
      <c r="U350" s="674"/>
      <c r="V350" s="674"/>
      <c r="W350" s="674"/>
      <c r="X350" s="674"/>
      <c r="Y350" s="674"/>
      <c r="Z350" s="674"/>
      <c r="AA350" s="674"/>
    </row>
    <row r="351" spans="1:27" x14ac:dyDescent="0.25">
      <c r="A351" s="209"/>
      <c r="B351" s="209"/>
      <c r="C351" s="209"/>
      <c r="D351" s="209"/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  <c r="O351" s="209"/>
      <c r="P351" s="687"/>
      <c r="Q351" s="687"/>
      <c r="R351" s="687"/>
      <c r="S351" s="674"/>
      <c r="T351" s="674"/>
      <c r="U351" s="674"/>
      <c r="V351" s="674"/>
      <c r="W351" s="674"/>
      <c r="X351" s="674"/>
      <c r="Y351" s="674"/>
      <c r="Z351" s="674"/>
      <c r="AA351" s="674"/>
    </row>
    <row r="352" spans="1:27" x14ac:dyDescent="0.25">
      <c r="A352" s="209"/>
      <c r="B352" s="209"/>
      <c r="C352" s="209"/>
      <c r="D352" s="209"/>
      <c r="E352" s="209"/>
      <c r="F352" s="209"/>
      <c r="G352" s="209"/>
      <c r="H352" s="209"/>
      <c r="I352" s="209"/>
      <c r="J352" s="209"/>
      <c r="K352" s="209"/>
      <c r="L352" s="209"/>
      <c r="M352" s="209"/>
      <c r="N352" s="209"/>
      <c r="O352" s="209"/>
      <c r="P352" s="687"/>
      <c r="Q352" s="687"/>
      <c r="R352" s="687"/>
      <c r="S352" s="674"/>
      <c r="T352" s="674"/>
      <c r="U352" s="674"/>
      <c r="V352" s="674"/>
      <c r="W352" s="674"/>
      <c r="X352" s="674"/>
      <c r="Y352" s="674"/>
      <c r="Z352" s="674"/>
      <c r="AA352" s="674"/>
    </row>
    <row r="353" spans="1:27" x14ac:dyDescent="0.25">
      <c r="A353" s="209"/>
      <c r="B353" s="209"/>
      <c r="C353" s="209"/>
      <c r="D353" s="209"/>
      <c r="E353" s="209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687"/>
      <c r="Q353" s="687"/>
      <c r="R353" s="687"/>
      <c r="S353" s="674"/>
      <c r="T353" s="674"/>
      <c r="U353" s="674"/>
      <c r="V353" s="674"/>
      <c r="W353" s="674"/>
      <c r="X353" s="674"/>
      <c r="Y353" s="674"/>
      <c r="Z353" s="674"/>
      <c r="AA353" s="674"/>
    </row>
    <row r="354" spans="1:27" x14ac:dyDescent="0.25">
      <c r="A354" s="209"/>
      <c r="B354" s="209"/>
      <c r="C354" s="209"/>
      <c r="D354" s="209"/>
      <c r="E354" s="209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687"/>
      <c r="Q354" s="687"/>
      <c r="R354" s="687"/>
      <c r="S354" s="674"/>
      <c r="T354" s="674"/>
      <c r="U354" s="674"/>
      <c r="V354" s="674"/>
      <c r="W354" s="674"/>
      <c r="X354" s="674"/>
      <c r="Y354" s="674"/>
      <c r="Z354" s="674"/>
      <c r="AA354" s="674"/>
    </row>
    <row r="355" spans="1:27" x14ac:dyDescent="0.25">
      <c r="A355" s="209"/>
      <c r="B355" s="209"/>
      <c r="C355" s="209"/>
      <c r="D355" s="209"/>
      <c r="E355" s="209"/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687"/>
      <c r="Q355" s="687"/>
      <c r="R355" s="687"/>
      <c r="S355" s="674"/>
      <c r="T355" s="674"/>
      <c r="U355" s="674"/>
      <c r="V355" s="674"/>
      <c r="W355" s="674"/>
      <c r="X355" s="674"/>
      <c r="Y355" s="674"/>
      <c r="Z355" s="674"/>
      <c r="AA355" s="674"/>
    </row>
    <row r="356" spans="1:27" x14ac:dyDescent="0.25">
      <c r="A356" s="209"/>
      <c r="B356" s="209"/>
      <c r="C356" s="209"/>
      <c r="D356" s="209"/>
      <c r="E356" s="209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687"/>
      <c r="Q356" s="687"/>
      <c r="R356" s="687"/>
      <c r="S356" s="674"/>
      <c r="T356" s="674"/>
      <c r="U356" s="674"/>
      <c r="V356" s="674"/>
      <c r="W356" s="674"/>
      <c r="X356" s="674"/>
      <c r="Y356" s="674"/>
      <c r="Z356" s="674"/>
      <c r="AA356" s="674"/>
    </row>
    <row r="357" spans="1:27" x14ac:dyDescent="0.25">
      <c r="A357" s="209"/>
      <c r="B357" s="209"/>
      <c r="C357" s="209"/>
      <c r="D357" s="209"/>
      <c r="E357" s="209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687"/>
      <c r="Q357" s="687"/>
      <c r="R357" s="687"/>
      <c r="S357" s="674"/>
      <c r="T357" s="674"/>
      <c r="U357" s="674"/>
      <c r="V357" s="674"/>
      <c r="W357" s="674"/>
      <c r="X357" s="674"/>
      <c r="Y357" s="674"/>
      <c r="Z357" s="674"/>
      <c r="AA357" s="674"/>
    </row>
    <row r="358" spans="1:27" x14ac:dyDescent="0.25">
      <c r="A358" s="209"/>
      <c r="B358" s="209"/>
      <c r="C358" s="209"/>
      <c r="D358" s="209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687"/>
      <c r="Q358" s="687"/>
      <c r="R358" s="687"/>
      <c r="S358" s="674"/>
      <c r="T358" s="674"/>
      <c r="U358" s="674"/>
      <c r="V358" s="674"/>
      <c r="W358" s="674"/>
      <c r="X358" s="674"/>
      <c r="Y358" s="674"/>
      <c r="Z358" s="674"/>
      <c r="AA358" s="674"/>
    </row>
    <row r="359" spans="1:27" x14ac:dyDescent="0.25">
      <c r="A359" s="209"/>
      <c r="B359" s="209"/>
      <c r="C359" s="209"/>
      <c r="D359" s="209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687"/>
      <c r="Q359" s="687"/>
      <c r="R359" s="687"/>
      <c r="S359" s="674"/>
      <c r="T359" s="674"/>
      <c r="U359" s="674"/>
      <c r="V359" s="674"/>
      <c r="W359" s="674"/>
      <c r="X359" s="674"/>
      <c r="Y359" s="674"/>
      <c r="Z359" s="674"/>
      <c r="AA359" s="674"/>
    </row>
    <row r="360" spans="1:27" x14ac:dyDescent="0.25">
      <c r="A360" s="924" t="s">
        <v>206</v>
      </c>
      <c r="B360" s="924"/>
      <c r="C360" s="925"/>
      <c r="D360" s="925"/>
      <c r="E360" s="925"/>
      <c r="F360" s="925"/>
      <c r="G360" s="925"/>
      <c r="H360" s="925"/>
      <c r="I360" s="925"/>
      <c r="J360" s="925"/>
      <c r="K360" s="925"/>
      <c r="L360" s="925"/>
      <c r="M360" s="925"/>
      <c r="N360" s="925"/>
      <c r="O360" s="207"/>
      <c r="P360" s="679"/>
      <c r="Q360" s="691"/>
      <c r="R360" s="687"/>
      <c r="S360" s="674"/>
      <c r="T360" s="674"/>
      <c r="U360" s="674"/>
      <c r="V360" s="674"/>
      <c r="W360" s="674"/>
      <c r="X360" s="674"/>
      <c r="Y360" s="674"/>
      <c r="Z360" s="674"/>
      <c r="AA360" s="674"/>
    </row>
    <row r="361" spans="1:27" x14ac:dyDescent="0.25">
      <c r="A361" s="924" t="s">
        <v>154</v>
      </c>
      <c r="B361" s="924"/>
      <c r="C361" s="925"/>
      <c r="D361" s="925"/>
      <c r="E361" s="925"/>
      <c r="F361" s="925"/>
      <c r="G361" s="925"/>
      <c r="H361" s="925"/>
      <c r="I361" s="925"/>
      <c r="J361" s="925"/>
      <c r="K361" s="925"/>
      <c r="L361" s="925"/>
      <c r="M361" s="925"/>
      <c r="N361" s="925"/>
      <c r="O361" s="207"/>
      <c r="P361" s="679"/>
      <c r="Q361" s="691"/>
      <c r="R361" s="687"/>
      <c r="S361" s="674"/>
      <c r="T361" s="674"/>
      <c r="U361" s="674"/>
      <c r="V361" s="674"/>
      <c r="W361" s="674"/>
      <c r="X361" s="674"/>
      <c r="Y361" s="674"/>
      <c r="Z361" s="674"/>
      <c r="AA361" s="674"/>
    </row>
    <row r="362" spans="1:27" x14ac:dyDescent="0.25">
      <c r="A362" s="212"/>
      <c r="B362" s="212"/>
      <c r="C362" s="213"/>
      <c r="D362" s="213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  <c r="O362" s="207"/>
      <c r="P362" s="679"/>
      <c r="Q362" s="691"/>
      <c r="R362" s="687"/>
      <c r="S362" s="674"/>
      <c r="T362" s="674"/>
      <c r="U362" s="674"/>
      <c r="V362" s="674"/>
      <c r="W362" s="674"/>
      <c r="X362" s="674"/>
      <c r="Y362" s="674"/>
      <c r="Z362" s="674"/>
      <c r="AA362" s="674"/>
    </row>
    <row r="363" spans="1:27" x14ac:dyDescent="0.25">
      <c r="A363" s="207"/>
      <c r="B363" s="207"/>
      <c r="C363" s="208" t="s">
        <v>6</v>
      </c>
      <c r="D363" s="207"/>
      <c r="E363" s="207"/>
      <c r="F363" s="908" t="str">
        <f>D5</f>
        <v/>
      </c>
      <c r="G363" s="908"/>
      <c r="H363" s="908"/>
      <c r="I363" s="908"/>
      <c r="J363" s="908"/>
      <c r="K363" s="908"/>
      <c r="L363" s="207"/>
      <c r="M363" s="207"/>
      <c r="N363" s="207"/>
      <c r="O363" s="207"/>
      <c r="P363" s="679"/>
      <c r="Q363" s="691"/>
      <c r="R363" s="687"/>
      <c r="S363" s="674"/>
      <c r="T363" s="674"/>
      <c r="U363" s="674"/>
      <c r="V363" s="674"/>
      <c r="W363" s="674"/>
      <c r="X363" s="674"/>
      <c r="Y363" s="674"/>
      <c r="Z363" s="674"/>
      <c r="AA363" s="674"/>
    </row>
    <row r="364" spans="1:27" x14ac:dyDescent="0.25">
      <c r="A364" s="207"/>
      <c r="B364" s="207"/>
      <c r="C364" s="208" t="s">
        <v>8</v>
      </c>
      <c r="D364" s="207"/>
      <c r="E364" s="207"/>
      <c r="F364" s="909" t="str">
        <f>D6</f>
        <v/>
      </c>
      <c r="G364" s="909"/>
      <c r="H364" s="909"/>
      <c r="I364" s="909"/>
      <c r="J364" s="909"/>
      <c r="K364" s="909"/>
      <c r="L364" s="207"/>
      <c r="M364" s="207"/>
      <c r="N364" s="207"/>
      <c r="O364" s="207"/>
      <c r="P364" s="679"/>
      <c r="Q364" s="691"/>
      <c r="R364" s="687"/>
      <c r="S364" s="674"/>
      <c r="T364" s="674"/>
      <c r="U364" s="674"/>
      <c r="V364" s="674"/>
      <c r="W364" s="674"/>
      <c r="X364" s="674"/>
      <c r="Y364" s="674"/>
      <c r="Z364" s="674"/>
      <c r="AA364" s="674"/>
    </row>
    <row r="365" spans="1:27" x14ac:dyDescent="0.25">
      <c r="A365" s="207"/>
      <c r="B365" s="207"/>
      <c r="C365" s="208" t="s">
        <v>122</v>
      </c>
      <c r="D365" s="207"/>
      <c r="E365" s="207"/>
      <c r="F365" s="909" t="str">
        <f>D7</f>
        <v/>
      </c>
      <c r="G365" s="909"/>
      <c r="H365" s="909"/>
      <c r="I365" s="909"/>
      <c r="J365" s="909"/>
      <c r="K365" s="909"/>
      <c r="L365" s="207"/>
      <c r="M365" s="207"/>
      <c r="N365" s="207"/>
      <c r="O365" s="207"/>
      <c r="P365" s="679"/>
      <c r="Q365" s="691"/>
      <c r="R365" s="687"/>
      <c r="S365" s="674"/>
      <c r="T365" s="674"/>
      <c r="U365" s="674"/>
      <c r="V365" s="674"/>
      <c r="W365" s="674"/>
      <c r="X365" s="674"/>
      <c r="Y365" s="674"/>
      <c r="Z365" s="674"/>
      <c r="AA365" s="674"/>
    </row>
    <row r="366" spans="1:27" x14ac:dyDescent="0.25">
      <c r="A366" s="207"/>
      <c r="B366" s="207"/>
      <c r="C366" s="208" t="s">
        <v>10</v>
      </c>
      <c r="D366" s="207"/>
      <c r="E366" s="207"/>
      <c r="F366" s="909" t="str">
        <f>D8</f>
        <v/>
      </c>
      <c r="G366" s="909"/>
      <c r="H366" s="909"/>
      <c r="I366" s="909"/>
      <c r="J366" s="909"/>
      <c r="K366" s="909"/>
      <c r="L366" s="207"/>
      <c r="M366" s="207"/>
      <c r="N366" s="207"/>
      <c r="O366" s="207"/>
      <c r="P366" s="679"/>
      <c r="Q366" s="679"/>
      <c r="R366" s="687"/>
      <c r="S366" s="674"/>
      <c r="T366" s="674"/>
      <c r="U366" s="674"/>
      <c r="V366" s="674"/>
      <c r="W366" s="674"/>
      <c r="X366" s="674"/>
      <c r="Y366" s="674"/>
      <c r="Z366" s="674"/>
      <c r="AA366" s="674"/>
    </row>
    <row r="367" spans="1:27" x14ac:dyDescent="0.25">
      <c r="A367" s="207"/>
      <c r="B367" s="207"/>
      <c r="C367" s="208"/>
      <c r="D367" s="207"/>
      <c r="E367" s="207"/>
      <c r="F367" s="225"/>
      <c r="G367" s="225"/>
      <c r="H367" s="219"/>
      <c r="I367" s="209"/>
      <c r="J367" s="209"/>
      <c r="K367" s="219"/>
      <c r="L367" s="219"/>
      <c r="M367" s="219"/>
      <c r="N367" s="207"/>
      <c r="O367" s="214"/>
      <c r="P367" s="679"/>
      <c r="Q367" s="679"/>
      <c r="R367" s="687"/>
      <c r="S367" s="674"/>
      <c r="T367" s="674"/>
      <c r="U367" s="674"/>
      <c r="V367" s="674"/>
      <c r="W367" s="674"/>
      <c r="X367" s="674"/>
      <c r="Y367" s="674"/>
      <c r="Z367" s="674"/>
      <c r="AA367" s="674"/>
    </row>
    <row r="368" spans="1:27" x14ac:dyDescent="0.25">
      <c r="A368" s="100"/>
      <c r="B368" s="256" t="s">
        <v>209</v>
      </c>
      <c r="C368" s="830" t="s">
        <v>155</v>
      </c>
      <c r="D368" s="832"/>
      <c r="E368" s="832"/>
      <c r="F368" s="926"/>
      <c r="G368" s="101" t="s">
        <v>109</v>
      </c>
      <c r="H368" s="209"/>
      <c r="I368" s="209"/>
      <c r="J368" s="209"/>
      <c r="K368" s="209"/>
      <c r="L368" s="209"/>
      <c r="M368" s="209"/>
      <c r="N368" s="209"/>
      <c r="O368" s="209"/>
      <c r="P368" s="680" t="s">
        <v>156</v>
      </c>
      <c r="Q368" s="679"/>
      <c r="R368" s="687"/>
      <c r="S368" s="674"/>
      <c r="T368" s="674"/>
      <c r="U368" s="674"/>
      <c r="V368" s="674"/>
      <c r="W368" s="674"/>
      <c r="X368" s="674"/>
      <c r="Y368" s="674"/>
      <c r="Z368" s="674"/>
      <c r="AA368" s="674"/>
    </row>
    <row r="369" spans="1:27" x14ac:dyDescent="0.25">
      <c r="A369" s="105"/>
      <c r="B369" s="108" t="s">
        <v>211</v>
      </c>
      <c r="C369" s="106" t="s">
        <v>22</v>
      </c>
      <c r="D369" s="80"/>
      <c r="E369" s="80" t="s">
        <v>228</v>
      </c>
      <c r="F369" s="107"/>
      <c r="G369" s="80" t="s">
        <v>110</v>
      </c>
      <c r="H369" s="209"/>
      <c r="I369" s="209"/>
      <c r="J369" s="209"/>
      <c r="K369" s="209"/>
      <c r="L369" s="209"/>
      <c r="M369" s="209"/>
      <c r="N369" s="209"/>
      <c r="O369" s="209"/>
      <c r="P369" s="681" t="str">
        <f>$P$80</f>
        <v>Year or</v>
      </c>
      <c r="Q369" s="679"/>
      <c r="R369" s="687"/>
      <c r="S369" s="674"/>
      <c r="T369" s="674"/>
      <c r="U369" s="674"/>
      <c r="V369" s="674"/>
      <c r="W369" s="674"/>
      <c r="X369" s="674"/>
      <c r="Y369" s="674"/>
      <c r="Z369" s="674"/>
      <c r="AA369" s="674"/>
    </row>
    <row r="370" spans="1:27" x14ac:dyDescent="0.25">
      <c r="A370" s="109" t="s">
        <v>32</v>
      </c>
      <c r="B370" s="109" t="s">
        <v>224</v>
      </c>
      <c r="C370" s="110" t="s">
        <v>34</v>
      </c>
      <c r="D370" s="111" t="s">
        <v>30</v>
      </c>
      <c r="E370" s="111" t="s">
        <v>229</v>
      </c>
      <c r="F370" s="112" t="s">
        <v>46</v>
      </c>
      <c r="G370" s="113" t="s">
        <v>33</v>
      </c>
      <c r="H370" s="209"/>
      <c r="I370" s="209"/>
      <c r="J370" s="209"/>
      <c r="K370" s="209"/>
      <c r="L370" s="209"/>
      <c r="M370" s="209"/>
      <c r="N370" s="209"/>
      <c r="O370" s="209"/>
      <c r="P370" s="682" t="str">
        <f>$P$81</f>
        <v>Portion of</v>
      </c>
      <c r="Q370" s="679"/>
      <c r="R370" s="687"/>
      <c r="S370" s="674"/>
      <c r="T370" s="674"/>
      <c r="U370" s="674"/>
      <c r="V370" s="674"/>
      <c r="W370" s="674"/>
      <c r="X370" s="674"/>
      <c r="Y370" s="674"/>
      <c r="Z370" s="674"/>
      <c r="AA370" s="674"/>
    </row>
    <row r="371" spans="1:27" x14ac:dyDescent="0.25">
      <c r="A371" s="114" t="str">
        <f t="shared" ref="A371:A410" si="65">IF(A23=0,"",A23)</f>
        <v/>
      </c>
      <c r="B371" s="271" t="str">
        <f t="shared" ref="B371:B410" si="66">IFERROR(IF(ROUND(IF(totalyrs&gt;9,((F23*(1+$K$15)^9)),0),0)=0,"",ROUND(IF(totalyrs&gt;9,((F23*(1+$K$15)^9)),0),0)),"")</f>
        <v/>
      </c>
      <c r="C371" s="130" t="str">
        <f>IFERROR(IF(ROUND(IF(totalyrs&gt;9,IF('Salary Detail'!$F$18="X",(IF(F23*(1+$K$15)^9&gt; MAXSAL,(MAXSAL*G371),(F23*G371*yr10percent*(1+$K$15)^9))),(F23*G371*yr10percent*(1+$K$15)^9)),0),0)=0,"",ROUND(IF(totalyrs&gt;9,IF('Salary Detail'!$F$18="X",(IF(F23*(1+$K$15)^9&gt; MAXSAL,(MAXSAL*G371),(F23*G371*yr10percent*(1+$K$15)^9))),(F23*G371*yr10percent*(1+$K$15)^9)),0),0)),"")</f>
        <v/>
      </c>
      <c r="D371" s="115" t="str">
        <f>IFERROR(IF(C371*0.26=0,"",C371*0.35),"")</f>
        <v/>
      </c>
      <c r="E371" s="266" t="str">
        <f t="shared" ref="E371:E410" si="67">IFERROR(IF(SUM(G371*12)=0,"",SUM(G371*12)),"")</f>
        <v/>
      </c>
      <c r="F371" s="116" t="str">
        <f t="shared" ref="F371:F410" si="68">IFERROR(IF(C371+D371=0,"",C371+D371),"")</f>
        <v/>
      </c>
      <c r="G371" s="185" t="str">
        <f t="shared" ref="G371:G410" si="69">IF(IF(totalyrs&gt;9,(O299),0)=0,"",IF(totalyrs&gt;9,(O299),0))</f>
        <v/>
      </c>
      <c r="H371" s="209"/>
      <c r="I371" s="209"/>
      <c r="J371" s="209"/>
      <c r="K371" s="209"/>
      <c r="L371" s="209"/>
      <c r="M371" s="209"/>
      <c r="N371" s="209"/>
      <c r="O371" s="209"/>
      <c r="P371" s="682" t="str">
        <f>$P$82</f>
        <v>a Year</v>
      </c>
      <c r="Q371" s="679"/>
      <c r="R371" s="674"/>
      <c r="S371" s="679"/>
      <c r="T371" s="674"/>
      <c r="U371" s="674"/>
      <c r="V371" s="674"/>
      <c r="W371" s="679"/>
      <c r="X371" s="674"/>
      <c r="Y371" s="674"/>
      <c r="Z371" s="674"/>
      <c r="AA371" s="674"/>
    </row>
    <row r="372" spans="1:27" x14ac:dyDescent="0.25">
      <c r="A372" s="114" t="str">
        <f t="shared" si="65"/>
        <v/>
      </c>
      <c r="B372" s="271" t="str">
        <f t="shared" si="66"/>
        <v/>
      </c>
      <c r="C372" s="130" t="str">
        <f>IFERROR(IF(ROUND(IF(totalyrs&gt;9,IF('Salary Detail'!$F$18="X",(IF(F24*(1+$K$15)^9&gt; MAXSAL,(MAXSAL*G372),(F24*G372*yr10percent*(1+$K$15)^9))),(F24*G372*yr10percent*(1+$K$15)^9)),0),0)=0,"",ROUND(IF(totalyrs&gt;9,IF('Salary Detail'!$F$18="X",(IF(F24*(1+$K$15)^9&gt; MAXSAL,(MAXSAL*G372),(F24*G372*yr10percent*(1+$K$15)^9))),(F24*G372*yr10percent*(1+$K$15)^9)),0),0)),"")</f>
        <v/>
      </c>
      <c r="D372" s="115" t="str">
        <f t="shared" ref="D372:D410" si="70">IFERROR(IF(C372*0.26=0,"",C372*0.35),"")</f>
        <v/>
      </c>
      <c r="E372" s="266" t="str">
        <f t="shared" si="67"/>
        <v/>
      </c>
      <c r="F372" s="116" t="str">
        <f t="shared" si="68"/>
        <v/>
      </c>
      <c r="G372" s="185" t="str">
        <f t="shared" si="69"/>
        <v/>
      </c>
      <c r="H372" s="209"/>
      <c r="I372" s="209"/>
      <c r="J372" s="209"/>
      <c r="K372" s="209"/>
      <c r="L372" s="209"/>
      <c r="M372" s="209"/>
      <c r="N372" s="209"/>
      <c r="O372" s="209"/>
      <c r="P372" s="683">
        <f>IF(AND(totalyrs&gt;9,totalyrs&lt;10),totalyrs-9,1)</f>
        <v>1</v>
      </c>
      <c r="Q372" s="692" t="s">
        <v>157</v>
      </c>
      <c r="R372" s="674"/>
      <c r="S372" s="674"/>
      <c r="T372" s="674"/>
      <c r="U372" s="674"/>
      <c r="V372" s="674"/>
      <c r="W372" s="679"/>
      <c r="X372" s="674"/>
      <c r="Y372" s="674"/>
      <c r="Z372" s="674"/>
      <c r="AA372" s="674"/>
    </row>
    <row r="373" spans="1:27" x14ac:dyDescent="0.25">
      <c r="A373" s="114" t="str">
        <f t="shared" si="65"/>
        <v/>
      </c>
      <c r="B373" s="271" t="str">
        <f t="shared" si="66"/>
        <v/>
      </c>
      <c r="C373" s="130" t="str">
        <f>IFERROR(IF(ROUND(IF(totalyrs&gt;9,IF('Salary Detail'!$F$18="X",(IF(F25*(1+$K$15)^9&gt; MAXSAL,(MAXSAL*G373),(F25*G373*yr10percent*(1+$K$15)^9))),(F25*G373*yr10percent*(1+$K$15)^9)),0),0)=0,"",ROUND(IF(totalyrs&gt;9,IF('Salary Detail'!$F$18="X",(IF(F25*(1+$K$15)^9&gt; MAXSAL,(MAXSAL*G373),(F25*G373*yr10percent*(1+$K$15)^9))),(F25*G373*yr10percent*(1+$K$15)^9)),0),0)),"")</f>
        <v/>
      </c>
      <c r="D373" s="115" t="str">
        <f t="shared" si="70"/>
        <v/>
      </c>
      <c r="E373" s="266" t="str">
        <f t="shared" si="67"/>
        <v/>
      </c>
      <c r="F373" s="116" t="str">
        <f t="shared" si="68"/>
        <v/>
      </c>
      <c r="G373" s="185" t="str">
        <f t="shared" si="69"/>
        <v/>
      </c>
      <c r="H373" s="209"/>
      <c r="I373" s="209"/>
      <c r="J373" s="209"/>
      <c r="K373" s="209"/>
      <c r="L373" s="209"/>
      <c r="M373" s="209"/>
      <c r="N373" s="209"/>
      <c r="O373" s="209"/>
      <c r="P373" s="683"/>
      <c r="Q373" s="684"/>
      <c r="R373" s="674"/>
      <c r="S373" s="674"/>
      <c r="T373" s="674"/>
      <c r="U373" s="674"/>
      <c r="V373" s="674"/>
      <c r="W373" s="679"/>
      <c r="X373" s="674"/>
      <c r="Y373" s="674"/>
      <c r="Z373" s="674"/>
      <c r="AA373" s="674"/>
    </row>
    <row r="374" spans="1:27" x14ac:dyDescent="0.25">
      <c r="A374" s="114" t="str">
        <f t="shared" si="65"/>
        <v/>
      </c>
      <c r="B374" s="271" t="str">
        <f t="shared" si="66"/>
        <v/>
      </c>
      <c r="C374" s="130" t="str">
        <f>IFERROR(IF(ROUND(IF(totalyrs&gt;9,IF('Salary Detail'!$F$18="X",(IF(F26*(1+$K$15)^9&gt; MAXSAL,(MAXSAL*G374),(F26*G374*yr10percent*(1+$K$15)^9))),(F26*G374*yr10percent*(1+$K$15)^9)),0),0)=0,"",ROUND(IF(totalyrs&gt;9,IF('Salary Detail'!$F$18="X",(IF(F26*(1+$K$15)^9&gt; MAXSAL,(MAXSAL*G374),(F26*G374*yr10percent*(1+$K$15)^9))),(F26*G374*yr10percent*(1+$K$15)^9)),0),0)),"")</f>
        <v/>
      </c>
      <c r="D374" s="115" t="str">
        <f t="shared" si="70"/>
        <v/>
      </c>
      <c r="E374" s="266" t="str">
        <f t="shared" si="67"/>
        <v/>
      </c>
      <c r="F374" s="116" t="str">
        <f t="shared" si="68"/>
        <v/>
      </c>
      <c r="G374" s="185" t="str">
        <f t="shared" si="69"/>
        <v/>
      </c>
      <c r="H374" s="209"/>
      <c r="I374" s="209"/>
      <c r="J374" s="209"/>
      <c r="K374" s="209"/>
      <c r="L374" s="209"/>
      <c r="M374" s="209"/>
      <c r="N374" s="209"/>
      <c r="O374" s="209"/>
      <c r="P374" s="682"/>
      <c r="Q374" s="679"/>
      <c r="R374" s="674"/>
      <c r="S374" s="674"/>
      <c r="T374" s="674"/>
      <c r="U374" s="674"/>
      <c r="V374" s="674"/>
      <c r="W374" s="679"/>
      <c r="X374" s="674"/>
      <c r="Y374" s="674"/>
      <c r="Z374" s="674"/>
      <c r="AA374" s="674"/>
    </row>
    <row r="375" spans="1:27" x14ac:dyDescent="0.25">
      <c r="A375" s="114" t="str">
        <f t="shared" si="65"/>
        <v/>
      </c>
      <c r="B375" s="271" t="str">
        <f t="shared" si="66"/>
        <v/>
      </c>
      <c r="C375" s="130" t="str">
        <f>IFERROR(IF(ROUND(IF(totalyrs&gt;9,IF('Salary Detail'!$F$18="X",(IF(F27*(1+$K$15)^9&gt; MAXSAL,(MAXSAL*G375),(F27*G375*yr10percent*(1+$K$15)^9))),(F27*G375*yr10percent*(1+$K$15)^9)),0),0)=0,"",ROUND(IF(totalyrs&gt;9,IF('Salary Detail'!$F$18="X",(IF(F27*(1+$K$15)^9&gt; MAXSAL,(MAXSAL*G375),(F27*G375*yr10percent*(1+$K$15)^9))),(F27*G375*yr10percent*(1+$K$15)^9)),0),0)),"")</f>
        <v/>
      </c>
      <c r="D375" s="115" t="str">
        <f t="shared" si="70"/>
        <v/>
      </c>
      <c r="E375" s="266" t="str">
        <f t="shared" si="67"/>
        <v/>
      </c>
      <c r="F375" s="116" t="str">
        <f t="shared" si="68"/>
        <v/>
      </c>
      <c r="G375" s="185" t="str">
        <f t="shared" si="69"/>
        <v/>
      </c>
      <c r="H375" s="209"/>
      <c r="I375" s="209"/>
      <c r="J375" s="209"/>
      <c r="K375" s="209"/>
      <c r="L375" s="209"/>
      <c r="M375" s="209"/>
      <c r="N375" s="209"/>
      <c r="O375" s="209"/>
      <c r="P375" s="682"/>
      <c r="Q375" s="679"/>
      <c r="R375" s="674"/>
      <c r="S375" s="674"/>
      <c r="T375" s="674"/>
      <c r="U375" s="674"/>
      <c r="V375" s="674"/>
      <c r="W375" s="679"/>
      <c r="X375" s="674"/>
      <c r="Y375" s="674"/>
      <c r="Z375" s="674"/>
      <c r="AA375" s="674"/>
    </row>
    <row r="376" spans="1:27" x14ac:dyDescent="0.25">
      <c r="A376" s="114" t="str">
        <f t="shared" si="65"/>
        <v/>
      </c>
      <c r="B376" s="271" t="str">
        <f t="shared" si="66"/>
        <v/>
      </c>
      <c r="C376" s="130" t="str">
        <f>IFERROR(IF(ROUND(IF(totalyrs&gt;9,IF('Salary Detail'!$F$18="X",(IF(F28*(1+$K$15)^9&gt; MAXSAL,(MAXSAL*G376),(F28*G376*yr10percent*(1+$K$15)^9))),(F28*G376*yr10percent*(1+$K$15)^9)),0),0)=0,"",ROUND(IF(totalyrs&gt;9,IF('Salary Detail'!$F$18="X",(IF(F28*(1+$K$15)^9&gt; MAXSAL,(MAXSAL*G376),(F28*G376*yr10percent*(1+$K$15)^9))),(F28*G376*yr10percent*(1+$K$15)^9)),0),0)),"")</f>
        <v/>
      </c>
      <c r="D376" s="115" t="str">
        <f t="shared" si="70"/>
        <v/>
      </c>
      <c r="E376" s="266" t="str">
        <f t="shared" si="67"/>
        <v/>
      </c>
      <c r="F376" s="116" t="str">
        <f t="shared" si="68"/>
        <v/>
      </c>
      <c r="G376" s="185" t="str">
        <f t="shared" si="69"/>
        <v/>
      </c>
      <c r="H376" s="209"/>
      <c r="I376" s="209"/>
      <c r="J376" s="209"/>
      <c r="K376" s="209"/>
      <c r="L376" s="209"/>
      <c r="M376" s="209"/>
      <c r="N376" s="209"/>
      <c r="O376" s="209"/>
      <c r="P376" s="682"/>
      <c r="Q376" s="679"/>
      <c r="R376" s="674"/>
      <c r="S376" s="674"/>
      <c r="T376" s="674"/>
      <c r="U376" s="674"/>
      <c r="V376" s="674"/>
      <c r="W376" s="679"/>
      <c r="X376" s="674"/>
      <c r="Y376" s="674"/>
      <c r="Z376" s="674"/>
      <c r="AA376" s="674"/>
    </row>
    <row r="377" spans="1:27" x14ac:dyDescent="0.25">
      <c r="A377" s="114" t="str">
        <f t="shared" si="65"/>
        <v/>
      </c>
      <c r="B377" s="271" t="str">
        <f t="shared" si="66"/>
        <v/>
      </c>
      <c r="C377" s="130" t="str">
        <f>IFERROR(IF(ROUND(IF(totalyrs&gt;9,IF('Salary Detail'!$F$18="X",(IF(F29*(1+$K$15)^9&gt; MAXSAL,(MAXSAL*G377),(F29*G377*yr10percent*(1+$K$15)^9))),(F29*G377*yr10percent*(1+$K$15)^9)),0),0)=0,"",ROUND(IF(totalyrs&gt;9,IF('Salary Detail'!$F$18="X",(IF(F29*(1+$K$15)^9&gt; MAXSAL,(MAXSAL*G377),(F29*G377*yr10percent*(1+$K$15)^9))),(F29*G377*yr10percent*(1+$K$15)^9)),0),0)),"")</f>
        <v/>
      </c>
      <c r="D377" s="115" t="str">
        <f t="shared" si="70"/>
        <v/>
      </c>
      <c r="E377" s="266" t="str">
        <f t="shared" si="67"/>
        <v/>
      </c>
      <c r="F377" s="116" t="str">
        <f t="shared" si="68"/>
        <v/>
      </c>
      <c r="G377" s="185" t="str">
        <f t="shared" si="69"/>
        <v/>
      </c>
      <c r="H377" s="209"/>
      <c r="I377" s="209"/>
      <c r="J377" s="209"/>
      <c r="K377" s="209"/>
      <c r="L377" s="209"/>
      <c r="M377" s="209"/>
      <c r="N377" s="209"/>
      <c r="O377" s="209"/>
      <c r="P377" s="682"/>
      <c r="Q377" s="679"/>
      <c r="R377" s="674"/>
      <c r="S377" s="674"/>
      <c r="T377" s="674"/>
      <c r="U377" s="674"/>
      <c r="V377" s="674"/>
      <c r="W377" s="679"/>
      <c r="X377" s="674"/>
      <c r="Y377" s="674"/>
      <c r="Z377" s="674"/>
      <c r="AA377" s="674"/>
    </row>
    <row r="378" spans="1:27" x14ac:dyDescent="0.25">
      <c r="A378" s="114" t="str">
        <f t="shared" si="65"/>
        <v/>
      </c>
      <c r="B378" s="271" t="str">
        <f t="shared" si="66"/>
        <v/>
      </c>
      <c r="C378" s="130" t="str">
        <f>IFERROR(IF(ROUND(IF(totalyrs&gt;9,IF('Salary Detail'!$F$18="X",(IF(F30*(1+$K$15)^9&gt; MAXSAL,(MAXSAL*G378),(F30*G378*yr10percent*(1+$K$15)^9))),(F30*G378*yr10percent*(1+$K$15)^9)),0),0)=0,"",ROUND(IF(totalyrs&gt;9,IF('Salary Detail'!$F$18="X",(IF(F30*(1+$K$15)^9&gt; MAXSAL,(MAXSAL*G378),(F30*G378*yr10percent*(1+$K$15)^9))),(F30*G378*yr10percent*(1+$K$15)^9)),0),0)),"")</f>
        <v/>
      </c>
      <c r="D378" s="115" t="str">
        <f t="shared" si="70"/>
        <v/>
      </c>
      <c r="E378" s="266" t="str">
        <f t="shared" si="67"/>
        <v/>
      </c>
      <c r="F378" s="116" t="str">
        <f t="shared" si="68"/>
        <v/>
      </c>
      <c r="G378" s="185" t="str">
        <f t="shared" si="69"/>
        <v/>
      </c>
      <c r="H378" s="209"/>
      <c r="I378" s="209"/>
      <c r="J378" s="209"/>
      <c r="K378" s="209"/>
      <c r="L378" s="209"/>
      <c r="M378" s="209"/>
      <c r="N378" s="209"/>
      <c r="O378" s="209"/>
      <c r="P378" s="682"/>
      <c r="Q378" s="679"/>
      <c r="R378" s="674"/>
      <c r="S378" s="674"/>
      <c r="T378" s="674"/>
      <c r="U378" s="674"/>
      <c r="V378" s="674"/>
      <c r="W378" s="679"/>
      <c r="X378" s="674"/>
      <c r="Y378" s="674"/>
      <c r="Z378" s="674"/>
      <c r="AA378" s="674"/>
    </row>
    <row r="379" spans="1:27" x14ac:dyDescent="0.25">
      <c r="A379" s="114" t="str">
        <f t="shared" si="65"/>
        <v/>
      </c>
      <c r="B379" s="271" t="str">
        <f t="shared" si="66"/>
        <v/>
      </c>
      <c r="C379" s="130" t="str">
        <f>IFERROR(IF(ROUND(IF(totalyrs&gt;9,IF('Salary Detail'!$F$18="X",(IF(F31*(1+$K$15)^9&gt; MAXSAL,(MAXSAL*G379),(F31*G379*yr10percent*(1+$K$15)^9))),(F31*G379*yr10percent*(1+$K$15)^9)),0),0)=0,"",ROUND(IF(totalyrs&gt;9,IF('Salary Detail'!$F$18="X",(IF(F31*(1+$K$15)^9&gt; MAXSAL,(MAXSAL*G379),(F31*G379*yr10percent*(1+$K$15)^9))),(F31*G379*yr10percent*(1+$K$15)^9)),0),0)),"")</f>
        <v/>
      </c>
      <c r="D379" s="115" t="str">
        <f t="shared" si="70"/>
        <v/>
      </c>
      <c r="E379" s="266" t="str">
        <f t="shared" si="67"/>
        <v/>
      </c>
      <c r="F379" s="116" t="str">
        <f t="shared" si="68"/>
        <v/>
      </c>
      <c r="G379" s="185" t="str">
        <f t="shared" si="69"/>
        <v/>
      </c>
      <c r="H379" s="209"/>
      <c r="I379" s="209"/>
      <c r="J379" s="209"/>
      <c r="K379" s="209"/>
      <c r="L379" s="209"/>
      <c r="M379" s="209"/>
      <c r="N379" s="209"/>
      <c r="O379" s="209"/>
      <c r="P379" s="682"/>
      <c r="Q379" s="679"/>
      <c r="R379" s="674"/>
      <c r="S379" s="674"/>
      <c r="T379" s="674"/>
      <c r="U379" s="674"/>
      <c r="V379" s="674"/>
      <c r="W379" s="679"/>
      <c r="X379" s="674"/>
      <c r="Y379" s="674"/>
      <c r="Z379" s="674"/>
      <c r="AA379" s="674"/>
    </row>
    <row r="380" spans="1:27" x14ac:dyDescent="0.25">
      <c r="A380" s="114" t="str">
        <f t="shared" si="65"/>
        <v/>
      </c>
      <c r="B380" s="271" t="str">
        <f t="shared" si="66"/>
        <v/>
      </c>
      <c r="C380" s="130" t="str">
        <f>IFERROR(IF(ROUND(IF(totalyrs&gt;9,IF('Salary Detail'!$F$18="X",(IF(F32*(1+$K$15)^9&gt; MAXSAL,(MAXSAL*G380),(F32*G380*yr10percent*(1+$K$15)^9))),(F32*G380*yr10percent*(1+$K$15)^9)),0),0)=0,"",ROUND(IF(totalyrs&gt;9,IF('Salary Detail'!$F$18="X",(IF(F32*(1+$K$15)^9&gt; MAXSAL,(MAXSAL*G380),(F32*G380*yr10percent*(1+$K$15)^9))),(F32*G380*yr10percent*(1+$K$15)^9)),0),0)),"")</f>
        <v/>
      </c>
      <c r="D380" s="115" t="str">
        <f t="shared" si="70"/>
        <v/>
      </c>
      <c r="E380" s="266" t="str">
        <f t="shared" si="67"/>
        <v/>
      </c>
      <c r="F380" s="116" t="str">
        <f t="shared" si="68"/>
        <v/>
      </c>
      <c r="G380" s="185" t="str">
        <f t="shared" si="69"/>
        <v/>
      </c>
      <c r="H380" s="209"/>
      <c r="I380" s="209"/>
      <c r="J380" s="209"/>
      <c r="K380" s="209"/>
      <c r="L380" s="209"/>
      <c r="M380" s="209"/>
      <c r="N380" s="209"/>
      <c r="O380" s="209"/>
      <c r="P380" s="682"/>
      <c r="Q380" s="679"/>
      <c r="R380" s="674"/>
      <c r="S380" s="674"/>
      <c r="T380" s="674"/>
      <c r="U380" s="674"/>
      <c r="V380" s="674"/>
      <c r="W380" s="679"/>
      <c r="X380" s="674"/>
      <c r="Y380" s="674"/>
      <c r="Z380" s="674"/>
      <c r="AA380" s="674"/>
    </row>
    <row r="381" spans="1:27" x14ac:dyDescent="0.25">
      <c r="A381" s="114" t="str">
        <f t="shared" si="65"/>
        <v/>
      </c>
      <c r="B381" s="271" t="str">
        <f t="shared" si="66"/>
        <v/>
      </c>
      <c r="C381" s="130" t="str">
        <f>IFERROR(IF(ROUND(IF(totalyrs&gt;9,IF('Salary Detail'!$F$18="X",(IF(F33*(1+$K$15)^9&gt; MAXSAL,(MAXSAL*G381),(F33*G381*yr10percent*(1+$K$15)^9))),(F33*G381*yr10percent*(1+$K$15)^9)),0),0)=0,"",ROUND(IF(totalyrs&gt;9,IF('Salary Detail'!$F$18="X",(IF(F33*(1+$K$15)^9&gt; MAXSAL,(MAXSAL*G381),(F33*G381*yr10percent*(1+$K$15)^9))),(F33*G381*yr10percent*(1+$K$15)^9)),0),0)),"")</f>
        <v/>
      </c>
      <c r="D381" s="115" t="str">
        <f t="shared" si="70"/>
        <v/>
      </c>
      <c r="E381" s="266" t="str">
        <f t="shared" si="67"/>
        <v/>
      </c>
      <c r="F381" s="116" t="str">
        <f t="shared" si="68"/>
        <v/>
      </c>
      <c r="G381" s="185" t="str">
        <f t="shared" si="69"/>
        <v/>
      </c>
      <c r="H381" s="209"/>
      <c r="I381" s="209"/>
      <c r="J381" s="209"/>
      <c r="K381" s="209"/>
      <c r="L381" s="209"/>
      <c r="M381" s="209"/>
      <c r="N381" s="209"/>
      <c r="O381" s="209"/>
      <c r="P381" s="682"/>
      <c r="Q381" s="679"/>
      <c r="R381" s="674"/>
      <c r="S381" s="674"/>
      <c r="T381" s="674"/>
      <c r="U381" s="674"/>
      <c r="V381" s="674"/>
      <c r="W381" s="679"/>
      <c r="X381" s="674"/>
      <c r="Y381" s="674"/>
      <c r="Z381" s="674"/>
      <c r="AA381" s="674"/>
    </row>
    <row r="382" spans="1:27" x14ac:dyDescent="0.25">
      <c r="A382" s="114" t="str">
        <f t="shared" si="65"/>
        <v/>
      </c>
      <c r="B382" s="271" t="str">
        <f t="shared" si="66"/>
        <v/>
      </c>
      <c r="C382" s="130" t="str">
        <f>IFERROR(IF(ROUND(IF(totalyrs&gt;9,IF('Salary Detail'!$F$18="X",(IF(F34*(1+$K$15)^9&gt; MAXSAL,(MAXSAL*G382),(F34*G382*yr10percent*(1+$K$15)^9))),(F34*G382*yr10percent*(1+$K$15)^9)),0),0)=0,"",ROUND(IF(totalyrs&gt;9,IF('Salary Detail'!$F$18="X",(IF(F34*(1+$K$15)^9&gt; MAXSAL,(MAXSAL*G382),(F34*G382*yr10percent*(1+$K$15)^9))),(F34*G382*yr10percent*(1+$K$15)^9)),0),0)),"")</f>
        <v/>
      </c>
      <c r="D382" s="115" t="str">
        <f t="shared" si="70"/>
        <v/>
      </c>
      <c r="E382" s="266" t="str">
        <f t="shared" si="67"/>
        <v/>
      </c>
      <c r="F382" s="116" t="str">
        <f t="shared" si="68"/>
        <v/>
      </c>
      <c r="G382" s="185" t="str">
        <f t="shared" si="69"/>
        <v/>
      </c>
      <c r="H382" s="209"/>
      <c r="I382" s="209"/>
      <c r="J382" s="209"/>
      <c r="K382" s="209"/>
      <c r="L382" s="209"/>
      <c r="M382" s="209"/>
      <c r="N382" s="209"/>
      <c r="O382" s="209"/>
      <c r="P382" s="687"/>
      <c r="Q382" s="687"/>
      <c r="R382" s="674"/>
      <c r="S382" s="674"/>
      <c r="T382" s="674"/>
      <c r="U382" s="674"/>
      <c r="V382" s="674"/>
      <c r="W382" s="679"/>
      <c r="X382" s="674"/>
      <c r="Y382" s="674"/>
      <c r="Z382" s="674"/>
      <c r="AA382" s="674"/>
    </row>
    <row r="383" spans="1:27" x14ac:dyDescent="0.25">
      <c r="A383" s="114" t="str">
        <f t="shared" si="65"/>
        <v/>
      </c>
      <c r="B383" s="271" t="str">
        <f t="shared" si="66"/>
        <v/>
      </c>
      <c r="C383" s="130" t="str">
        <f>IFERROR(IF(ROUND(IF(totalyrs&gt;9,IF('Salary Detail'!$F$18="X",(IF(F35*(1+$K$15)^9&gt; MAXSAL,(MAXSAL*G383),(F35*G383*yr10percent*(1+$K$15)^9))),(F35*G383*yr10percent*(1+$K$15)^9)),0),0)=0,"",ROUND(IF(totalyrs&gt;9,IF('Salary Detail'!$F$18="X",(IF(F35*(1+$K$15)^9&gt; MAXSAL,(MAXSAL*G383),(F35*G383*yr10percent*(1+$K$15)^9))),(F35*G383*yr10percent*(1+$K$15)^9)),0),0)),"")</f>
        <v/>
      </c>
      <c r="D383" s="115" t="str">
        <f t="shared" si="70"/>
        <v/>
      </c>
      <c r="E383" s="266" t="str">
        <f t="shared" si="67"/>
        <v/>
      </c>
      <c r="F383" s="116" t="str">
        <f t="shared" si="68"/>
        <v/>
      </c>
      <c r="G383" s="185" t="str">
        <f t="shared" si="69"/>
        <v/>
      </c>
      <c r="H383" s="209"/>
      <c r="I383" s="209"/>
      <c r="J383" s="209"/>
      <c r="K383" s="209"/>
      <c r="L383" s="209"/>
      <c r="M383" s="209"/>
      <c r="N383" s="209"/>
      <c r="O383" s="209"/>
      <c r="P383" s="687"/>
      <c r="Q383" s="687"/>
      <c r="R383" s="674"/>
      <c r="S383" s="674"/>
      <c r="T383" s="674"/>
      <c r="U383" s="674"/>
      <c r="V383" s="674"/>
      <c r="W383" s="679"/>
      <c r="X383" s="674"/>
      <c r="Y383" s="674"/>
      <c r="Z383" s="674"/>
      <c r="AA383" s="674"/>
    </row>
    <row r="384" spans="1:27" x14ac:dyDescent="0.25">
      <c r="A384" s="114" t="str">
        <f t="shared" si="65"/>
        <v/>
      </c>
      <c r="B384" s="271" t="str">
        <f t="shared" si="66"/>
        <v/>
      </c>
      <c r="C384" s="130" t="str">
        <f>IFERROR(IF(ROUND(IF(totalyrs&gt;9,IF('Salary Detail'!$F$18="X",(IF(F36*(1+$K$15)^9&gt; MAXSAL,(MAXSAL*G384),(F36*G384*yr10percent*(1+$K$15)^9))),(F36*G384*yr10percent*(1+$K$15)^9)),0),0)=0,"",ROUND(IF(totalyrs&gt;9,IF('Salary Detail'!$F$18="X",(IF(F36*(1+$K$15)^9&gt; MAXSAL,(MAXSAL*G384),(F36*G384*yr10percent*(1+$K$15)^9))),(F36*G384*yr10percent*(1+$K$15)^9)),0),0)),"")</f>
        <v/>
      </c>
      <c r="D384" s="115" t="str">
        <f t="shared" si="70"/>
        <v/>
      </c>
      <c r="E384" s="266" t="str">
        <f t="shared" si="67"/>
        <v/>
      </c>
      <c r="F384" s="116" t="str">
        <f t="shared" si="68"/>
        <v/>
      </c>
      <c r="G384" s="185" t="str">
        <f t="shared" si="69"/>
        <v/>
      </c>
      <c r="H384" s="209"/>
      <c r="I384" s="209"/>
      <c r="J384" s="209"/>
      <c r="K384" s="209"/>
      <c r="L384" s="209"/>
      <c r="M384" s="209"/>
      <c r="N384" s="209"/>
      <c r="O384" s="209"/>
      <c r="P384" s="687"/>
      <c r="Q384" s="687"/>
      <c r="R384" s="674"/>
      <c r="S384" s="674"/>
      <c r="T384" s="674"/>
      <c r="U384" s="674"/>
      <c r="V384" s="674"/>
      <c r="W384" s="679"/>
      <c r="X384" s="674"/>
      <c r="Y384" s="674"/>
      <c r="Z384" s="674"/>
      <c r="AA384" s="674"/>
    </row>
    <row r="385" spans="1:27" x14ac:dyDescent="0.25">
      <c r="A385" s="114" t="str">
        <f t="shared" si="65"/>
        <v/>
      </c>
      <c r="B385" s="271" t="str">
        <f t="shared" si="66"/>
        <v/>
      </c>
      <c r="C385" s="130" t="str">
        <f>IFERROR(IF(ROUND(IF(totalyrs&gt;9,IF('Salary Detail'!$F$18="X",(IF(F37*(1+$K$15)^9&gt; MAXSAL,(MAXSAL*G385),(F37*G385*yr10percent*(1+$K$15)^9))),(F37*G385*yr10percent*(1+$K$15)^9)),0),0)=0,"",ROUND(IF(totalyrs&gt;9,IF('Salary Detail'!$F$18="X",(IF(F37*(1+$K$15)^9&gt; MAXSAL,(MAXSAL*G385),(F37*G385*yr10percent*(1+$K$15)^9))),(F37*G385*yr10percent*(1+$K$15)^9)),0),0)),"")</f>
        <v/>
      </c>
      <c r="D385" s="115" t="str">
        <f t="shared" si="70"/>
        <v/>
      </c>
      <c r="E385" s="266" t="str">
        <f t="shared" si="67"/>
        <v/>
      </c>
      <c r="F385" s="116" t="str">
        <f t="shared" si="68"/>
        <v/>
      </c>
      <c r="G385" s="185" t="str">
        <f t="shared" si="69"/>
        <v/>
      </c>
      <c r="H385" s="209"/>
      <c r="I385" s="209"/>
      <c r="J385" s="209"/>
      <c r="K385" s="209"/>
      <c r="L385" s="209"/>
      <c r="M385" s="209"/>
      <c r="N385" s="209"/>
      <c r="O385" s="209"/>
      <c r="P385" s="679"/>
      <c r="Q385" s="679"/>
      <c r="R385" s="674"/>
      <c r="S385" s="674"/>
      <c r="T385" s="674"/>
      <c r="U385" s="674"/>
      <c r="V385" s="674"/>
      <c r="W385" s="679"/>
      <c r="X385" s="674"/>
      <c r="Y385" s="674"/>
      <c r="Z385" s="674"/>
      <c r="AA385" s="674"/>
    </row>
    <row r="386" spans="1:27" x14ac:dyDescent="0.25">
      <c r="A386" s="114" t="str">
        <f t="shared" si="65"/>
        <v/>
      </c>
      <c r="B386" s="271" t="str">
        <f t="shared" si="66"/>
        <v/>
      </c>
      <c r="C386" s="130" t="str">
        <f>IFERROR(IF(ROUND(IF(totalyrs&gt;9,IF('Salary Detail'!$F$18="X",(IF(F38*(1+$K$15)^9&gt; MAXSAL,(MAXSAL*G386),(F38*G386*yr10percent*(1+$K$15)^9))),(F38*G386*yr10percent*(1+$K$15)^9)),0),0)=0,"",ROUND(IF(totalyrs&gt;9,IF('Salary Detail'!$F$18="X",(IF(F38*(1+$K$15)^9&gt; MAXSAL,(MAXSAL*G386),(F38*G386*yr10percent*(1+$K$15)^9))),(F38*G386*yr10percent*(1+$K$15)^9)),0),0)),"")</f>
        <v/>
      </c>
      <c r="D386" s="115" t="str">
        <f t="shared" si="70"/>
        <v/>
      </c>
      <c r="E386" s="266" t="str">
        <f t="shared" si="67"/>
        <v/>
      </c>
      <c r="F386" s="116" t="str">
        <f t="shared" si="68"/>
        <v/>
      </c>
      <c r="G386" s="185" t="str">
        <f t="shared" si="69"/>
        <v/>
      </c>
      <c r="H386" s="209"/>
      <c r="I386" s="209"/>
      <c r="J386" s="209"/>
      <c r="K386" s="209"/>
      <c r="L386" s="209"/>
      <c r="M386" s="209"/>
      <c r="N386" s="209"/>
      <c r="O386" s="209"/>
      <c r="P386" s="679"/>
      <c r="Q386" s="679"/>
      <c r="R386" s="674"/>
      <c r="S386" s="674"/>
      <c r="T386" s="674"/>
      <c r="U386" s="674"/>
      <c r="V386" s="674"/>
      <c r="W386" s="679"/>
      <c r="X386" s="674"/>
      <c r="Y386" s="674"/>
      <c r="Z386" s="674"/>
      <c r="AA386" s="674"/>
    </row>
    <row r="387" spans="1:27" x14ac:dyDescent="0.25">
      <c r="A387" s="114" t="str">
        <f t="shared" si="65"/>
        <v/>
      </c>
      <c r="B387" s="271" t="str">
        <f t="shared" si="66"/>
        <v/>
      </c>
      <c r="C387" s="130" t="str">
        <f>IFERROR(IF(ROUND(IF(totalyrs&gt;9,IF('Salary Detail'!$F$18="X",(IF(F39*(1+$K$15)^9&gt; MAXSAL,(MAXSAL*G387),(F39*G387*yr10percent*(1+$K$15)^9))),(F39*G387*yr10percent*(1+$K$15)^9)),0),0)=0,"",ROUND(IF(totalyrs&gt;9,IF('Salary Detail'!$F$18="X",(IF(F39*(1+$K$15)^9&gt; MAXSAL,(MAXSAL*G387),(F39*G387*yr10percent*(1+$K$15)^9))),(F39*G387*yr10percent*(1+$K$15)^9)),0),0)),"")</f>
        <v/>
      </c>
      <c r="D387" s="115" t="str">
        <f t="shared" si="70"/>
        <v/>
      </c>
      <c r="E387" s="266" t="str">
        <f t="shared" si="67"/>
        <v/>
      </c>
      <c r="F387" s="116" t="str">
        <f t="shared" si="68"/>
        <v/>
      </c>
      <c r="G387" s="185" t="str">
        <f t="shared" si="69"/>
        <v/>
      </c>
      <c r="H387" s="209"/>
      <c r="I387" s="209"/>
      <c r="J387" s="209"/>
      <c r="K387" s="209"/>
      <c r="L387" s="209"/>
      <c r="M387" s="209"/>
      <c r="N387" s="209"/>
      <c r="O387" s="209"/>
      <c r="P387" s="679"/>
      <c r="Q387" s="679"/>
      <c r="R387" s="674"/>
      <c r="S387" s="674"/>
      <c r="T387" s="674"/>
      <c r="U387" s="674"/>
      <c r="V387" s="674"/>
      <c r="W387" s="679"/>
      <c r="X387" s="674"/>
      <c r="Y387" s="674"/>
      <c r="Z387" s="674"/>
      <c r="AA387" s="674"/>
    </row>
    <row r="388" spans="1:27" x14ac:dyDescent="0.25">
      <c r="A388" s="114" t="str">
        <f t="shared" si="65"/>
        <v/>
      </c>
      <c r="B388" s="271" t="str">
        <f t="shared" si="66"/>
        <v/>
      </c>
      <c r="C388" s="130" t="str">
        <f>IFERROR(IF(ROUND(IF(totalyrs&gt;9,IF('Salary Detail'!$F$18="X",(IF(F40*(1+$K$15)^9&gt; MAXSAL,(MAXSAL*G388),(F40*G388*yr10percent*(1+$K$15)^9))),(F40*G388*yr10percent*(1+$K$15)^9)),0),0)=0,"",ROUND(IF(totalyrs&gt;9,IF('Salary Detail'!$F$18="X",(IF(F40*(1+$K$15)^9&gt; MAXSAL,(MAXSAL*G388),(F40*G388*yr10percent*(1+$K$15)^9))),(F40*G388*yr10percent*(1+$K$15)^9)),0),0)),"")</f>
        <v/>
      </c>
      <c r="D388" s="115" t="str">
        <f t="shared" si="70"/>
        <v/>
      </c>
      <c r="E388" s="266" t="str">
        <f t="shared" si="67"/>
        <v/>
      </c>
      <c r="F388" s="116" t="str">
        <f t="shared" si="68"/>
        <v/>
      </c>
      <c r="G388" s="185" t="str">
        <f t="shared" si="69"/>
        <v/>
      </c>
      <c r="H388" s="209"/>
      <c r="I388" s="209"/>
      <c r="J388" s="209"/>
      <c r="K388" s="209"/>
      <c r="L388" s="209"/>
      <c r="M388" s="209"/>
      <c r="N388" s="209"/>
      <c r="O388" s="209"/>
      <c r="P388" s="679"/>
      <c r="Q388" s="679"/>
      <c r="R388" s="674"/>
      <c r="S388" s="674"/>
      <c r="T388" s="674"/>
      <c r="U388" s="674"/>
      <c r="V388" s="674"/>
      <c r="W388" s="679"/>
      <c r="X388" s="674"/>
      <c r="Y388" s="674"/>
      <c r="Z388" s="674"/>
      <c r="AA388" s="674"/>
    </row>
    <row r="389" spans="1:27" x14ac:dyDescent="0.25">
      <c r="A389" s="114" t="str">
        <f t="shared" si="65"/>
        <v/>
      </c>
      <c r="B389" s="271" t="str">
        <f t="shared" si="66"/>
        <v/>
      </c>
      <c r="C389" s="130" t="str">
        <f>IFERROR(IF(ROUND(IF(totalyrs&gt;9,IF('Salary Detail'!$F$18="X",(IF(F41*(1+$K$15)^9&gt; MAXSAL,(MAXSAL*G389),(F41*G389*yr10percent*(1+$K$15)^9))),(F41*G389*yr10percent*(1+$K$15)^9)),0),0)=0,"",ROUND(IF(totalyrs&gt;9,IF('Salary Detail'!$F$18="X",(IF(F41*(1+$K$15)^9&gt; MAXSAL,(MAXSAL*G389),(F41*G389*yr10percent*(1+$K$15)^9))),(F41*G389*yr10percent*(1+$K$15)^9)),0),0)),"")</f>
        <v/>
      </c>
      <c r="D389" s="115" t="str">
        <f t="shared" si="70"/>
        <v/>
      </c>
      <c r="E389" s="266" t="str">
        <f t="shared" si="67"/>
        <v/>
      </c>
      <c r="F389" s="116" t="str">
        <f t="shared" si="68"/>
        <v/>
      </c>
      <c r="G389" s="185" t="str">
        <f t="shared" si="69"/>
        <v/>
      </c>
      <c r="H389" s="209"/>
      <c r="I389" s="209"/>
      <c r="J389" s="209"/>
      <c r="K389" s="209"/>
      <c r="L389" s="209"/>
      <c r="M389" s="209"/>
      <c r="N389" s="209"/>
      <c r="O389" s="209"/>
      <c r="P389" s="679"/>
      <c r="Q389" s="679"/>
      <c r="R389" s="674"/>
      <c r="S389" s="674"/>
      <c r="T389" s="674"/>
      <c r="U389" s="674"/>
      <c r="V389" s="674"/>
      <c r="W389" s="679"/>
      <c r="X389" s="674"/>
      <c r="Y389" s="674"/>
      <c r="Z389" s="674"/>
      <c r="AA389" s="674"/>
    </row>
    <row r="390" spans="1:27" x14ac:dyDescent="0.25">
      <c r="A390" s="114" t="str">
        <f t="shared" si="65"/>
        <v/>
      </c>
      <c r="B390" s="271" t="str">
        <f t="shared" si="66"/>
        <v/>
      </c>
      <c r="C390" s="130" t="str">
        <f>IFERROR(IF(ROUND(IF(totalyrs&gt;9,IF('Salary Detail'!$F$18="X",(IF(F42*(1+$K$15)^9&gt; MAXSAL,(MAXSAL*G390),(F42*G390*yr10percent*(1+$K$15)^9))),(F42*G390*yr10percent*(1+$K$15)^9)),0),0)=0,"",ROUND(IF(totalyrs&gt;9,IF('Salary Detail'!$F$18="X",(IF(F42*(1+$K$15)^9&gt; MAXSAL,(MAXSAL*G390),(F42*G390*yr10percent*(1+$K$15)^9))),(F42*G390*yr10percent*(1+$K$15)^9)),0),0)),"")</f>
        <v/>
      </c>
      <c r="D390" s="115" t="str">
        <f t="shared" si="70"/>
        <v/>
      </c>
      <c r="E390" s="266" t="str">
        <f t="shared" si="67"/>
        <v/>
      </c>
      <c r="F390" s="116" t="str">
        <f t="shared" si="68"/>
        <v/>
      </c>
      <c r="G390" s="185" t="str">
        <f t="shared" si="69"/>
        <v/>
      </c>
      <c r="H390" s="209"/>
      <c r="I390" s="209"/>
      <c r="J390" s="209"/>
      <c r="K390" s="209"/>
      <c r="L390" s="209"/>
      <c r="M390" s="209"/>
      <c r="N390" s="209"/>
      <c r="O390" s="209"/>
      <c r="P390" s="679"/>
      <c r="Q390" s="679"/>
      <c r="R390" s="674"/>
      <c r="S390" s="674"/>
      <c r="T390" s="674"/>
      <c r="U390" s="674"/>
      <c r="V390" s="674"/>
      <c r="W390" s="679"/>
      <c r="X390" s="674"/>
      <c r="Y390" s="674"/>
      <c r="Z390" s="674"/>
      <c r="AA390" s="674"/>
    </row>
    <row r="391" spans="1:27" x14ac:dyDescent="0.25">
      <c r="A391" s="114" t="str">
        <f t="shared" si="65"/>
        <v/>
      </c>
      <c r="B391" s="271" t="str">
        <f t="shared" si="66"/>
        <v/>
      </c>
      <c r="C391" s="130" t="str">
        <f>IFERROR(IF(ROUND(IF(totalyrs&gt;9,IF('Salary Detail'!$F$18="X",(IF(F43*(1+$K$15)^9&gt; MAXSAL,(MAXSAL*G391),(F43*G391*yr10percent*(1+$K$15)^9))),(F43*G391*yr10percent*(1+$K$15)^9)),0),0)=0,"",ROUND(IF(totalyrs&gt;9,IF('Salary Detail'!$F$18="X",(IF(F43*(1+$K$15)^9&gt; MAXSAL,(MAXSAL*G391),(F43*G391*yr10percent*(1+$K$15)^9))),(F43*G391*yr10percent*(1+$K$15)^9)),0),0)),"")</f>
        <v/>
      </c>
      <c r="D391" s="115" t="str">
        <f t="shared" si="70"/>
        <v/>
      </c>
      <c r="E391" s="266" t="str">
        <f t="shared" si="67"/>
        <v/>
      </c>
      <c r="F391" s="116" t="str">
        <f t="shared" si="68"/>
        <v/>
      </c>
      <c r="G391" s="185" t="str">
        <f t="shared" si="69"/>
        <v/>
      </c>
      <c r="H391" s="209"/>
      <c r="I391" s="209"/>
      <c r="J391" s="209"/>
      <c r="K391" s="209"/>
      <c r="L391" s="209"/>
      <c r="M391" s="209"/>
      <c r="N391" s="209"/>
      <c r="O391" s="209"/>
      <c r="P391" s="679"/>
      <c r="Q391" s="679"/>
      <c r="R391" s="674"/>
      <c r="S391" s="674"/>
      <c r="T391" s="674"/>
      <c r="U391" s="674"/>
      <c r="V391" s="674"/>
      <c r="W391" s="679"/>
      <c r="X391" s="674"/>
      <c r="Y391" s="674"/>
      <c r="Z391" s="674"/>
      <c r="AA391" s="674"/>
    </row>
    <row r="392" spans="1:27" x14ac:dyDescent="0.25">
      <c r="A392" s="114" t="str">
        <f t="shared" si="65"/>
        <v/>
      </c>
      <c r="B392" s="271" t="str">
        <f t="shared" si="66"/>
        <v/>
      </c>
      <c r="C392" s="130" t="str">
        <f>IFERROR(IF(ROUND(IF(totalyrs&gt;9,IF('Salary Detail'!$F$18="X",(IF(F44*(1+$K$15)^9&gt; MAXSAL,(MAXSAL*G392),(F44*G392*yr10percent*(1+$K$15)^9))),(F44*G392*yr10percent*(1+$K$15)^9)),0),0)=0,"",ROUND(IF(totalyrs&gt;9,IF('Salary Detail'!$F$18="X",(IF(F44*(1+$K$15)^9&gt; MAXSAL,(MAXSAL*G392),(F44*G392*yr10percent*(1+$K$15)^9))),(F44*G392*yr10percent*(1+$K$15)^9)),0),0)),"")</f>
        <v/>
      </c>
      <c r="D392" s="115" t="str">
        <f t="shared" si="70"/>
        <v/>
      </c>
      <c r="E392" s="266" t="str">
        <f t="shared" si="67"/>
        <v/>
      </c>
      <c r="F392" s="116" t="str">
        <f t="shared" si="68"/>
        <v/>
      </c>
      <c r="G392" s="185" t="str">
        <f t="shared" si="69"/>
        <v/>
      </c>
      <c r="H392" s="209"/>
      <c r="I392" s="209"/>
      <c r="J392" s="209"/>
      <c r="K392" s="209"/>
      <c r="L392" s="209"/>
      <c r="M392" s="209"/>
      <c r="N392" s="209"/>
      <c r="O392" s="209"/>
      <c r="P392" s="679"/>
      <c r="Q392" s="679"/>
      <c r="R392" s="674"/>
      <c r="S392" s="674"/>
      <c r="T392" s="674"/>
      <c r="U392" s="674"/>
      <c r="V392" s="674"/>
      <c r="W392" s="679"/>
      <c r="X392" s="674"/>
      <c r="Y392" s="674"/>
      <c r="Z392" s="674"/>
      <c r="AA392" s="674"/>
    </row>
    <row r="393" spans="1:27" x14ac:dyDescent="0.25">
      <c r="A393" s="114" t="str">
        <f t="shared" si="65"/>
        <v/>
      </c>
      <c r="B393" s="271" t="str">
        <f t="shared" si="66"/>
        <v/>
      </c>
      <c r="C393" s="130" t="str">
        <f>IFERROR(IF(ROUND(IF(totalyrs&gt;9,IF('Salary Detail'!$F$18="X",(IF(F45*(1+$K$15)^9&gt; MAXSAL,(MAXSAL*G393),(F45*G393*yr10percent*(1+$K$15)^9))),(F45*G393*yr10percent*(1+$K$15)^9)),0),0)=0,"",ROUND(IF(totalyrs&gt;9,IF('Salary Detail'!$F$18="X",(IF(F45*(1+$K$15)^9&gt; MAXSAL,(MAXSAL*G393),(F45*G393*yr10percent*(1+$K$15)^9))),(F45*G393*yr10percent*(1+$K$15)^9)),0),0)),"")</f>
        <v/>
      </c>
      <c r="D393" s="115" t="str">
        <f t="shared" si="70"/>
        <v/>
      </c>
      <c r="E393" s="266" t="str">
        <f t="shared" si="67"/>
        <v/>
      </c>
      <c r="F393" s="116" t="str">
        <f t="shared" si="68"/>
        <v/>
      </c>
      <c r="G393" s="185" t="str">
        <f t="shared" si="69"/>
        <v/>
      </c>
      <c r="H393" s="209"/>
      <c r="I393" s="209"/>
      <c r="J393" s="209"/>
      <c r="K393" s="209"/>
      <c r="L393" s="209"/>
      <c r="M393" s="209"/>
      <c r="N393" s="209"/>
      <c r="O393" s="209"/>
      <c r="P393" s="679"/>
      <c r="Q393" s="679"/>
      <c r="R393" s="674"/>
      <c r="S393" s="674"/>
      <c r="T393" s="674"/>
      <c r="U393" s="674"/>
      <c r="V393" s="674"/>
      <c r="W393" s="679"/>
      <c r="X393" s="674"/>
      <c r="Y393" s="674"/>
      <c r="Z393" s="674"/>
      <c r="AA393" s="674"/>
    </row>
    <row r="394" spans="1:27" x14ac:dyDescent="0.25">
      <c r="A394" s="114" t="str">
        <f t="shared" si="65"/>
        <v/>
      </c>
      <c r="B394" s="271" t="str">
        <f t="shared" si="66"/>
        <v/>
      </c>
      <c r="C394" s="130" t="str">
        <f>IFERROR(IF(ROUND(IF(totalyrs&gt;9,IF('Salary Detail'!$F$18="X",(IF(F46*(1+$K$15)^9&gt; MAXSAL,(MAXSAL*G394),(F46*G394*yr10percent*(1+$K$15)^9))),(F46*G394*yr10percent*(1+$K$15)^9)),0),0)=0,"",ROUND(IF(totalyrs&gt;9,IF('Salary Detail'!$F$18="X",(IF(F46*(1+$K$15)^9&gt; MAXSAL,(MAXSAL*G394),(F46*G394*yr10percent*(1+$K$15)^9))),(F46*G394*yr10percent*(1+$K$15)^9)),0),0)),"")</f>
        <v/>
      </c>
      <c r="D394" s="115" t="str">
        <f t="shared" si="70"/>
        <v/>
      </c>
      <c r="E394" s="266" t="str">
        <f t="shared" si="67"/>
        <v/>
      </c>
      <c r="F394" s="116" t="str">
        <f t="shared" si="68"/>
        <v/>
      </c>
      <c r="G394" s="185" t="str">
        <f t="shared" si="69"/>
        <v/>
      </c>
      <c r="H394" s="209"/>
      <c r="I394" s="209"/>
      <c r="J394" s="209"/>
      <c r="K394" s="209"/>
      <c r="L394" s="209"/>
      <c r="M394" s="209"/>
      <c r="N394" s="209"/>
      <c r="O394" s="209"/>
      <c r="P394" s="679"/>
      <c r="Q394" s="679"/>
      <c r="R394" s="674"/>
      <c r="S394" s="674"/>
      <c r="T394" s="674"/>
      <c r="U394" s="674"/>
      <c r="V394" s="674"/>
      <c r="W394" s="679"/>
      <c r="X394" s="674"/>
      <c r="Y394" s="674"/>
      <c r="Z394" s="674"/>
      <c r="AA394" s="674"/>
    </row>
    <row r="395" spans="1:27" x14ac:dyDescent="0.25">
      <c r="A395" s="114" t="str">
        <f t="shared" si="65"/>
        <v/>
      </c>
      <c r="B395" s="271" t="str">
        <f t="shared" si="66"/>
        <v/>
      </c>
      <c r="C395" s="130" t="str">
        <f>IFERROR(IF(ROUND(IF(totalyrs&gt;9,IF('Salary Detail'!$F$18="X",(IF(F47*(1+$K$15)^9&gt; MAXSAL,(MAXSAL*G395),(F47*G395*yr10percent*(1+$K$15)^9))),(F47*G395*yr10percent*(1+$K$15)^9)),0),0)=0,"",ROUND(IF(totalyrs&gt;9,IF('Salary Detail'!$F$18="X",(IF(F47*(1+$K$15)^9&gt; MAXSAL,(MAXSAL*G395),(F47*G395*yr10percent*(1+$K$15)^9))),(F47*G395*yr10percent*(1+$K$15)^9)),0),0)),"")</f>
        <v/>
      </c>
      <c r="D395" s="115" t="str">
        <f t="shared" si="70"/>
        <v/>
      </c>
      <c r="E395" s="266" t="str">
        <f t="shared" si="67"/>
        <v/>
      </c>
      <c r="F395" s="116" t="str">
        <f t="shared" si="68"/>
        <v/>
      </c>
      <c r="G395" s="185" t="str">
        <f t="shared" si="69"/>
        <v/>
      </c>
      <c r="H395" s="209"/>
      <c r="I395" s="209"/>
      <c r="J395" s="209"/>
      <c r="K395" s="209"/>
      <c r="L395" s="209"/>
      <c r="M395" s="209"/>
      <c r="N395" s="209"/>
      <c r="O395" s="209"/>
      <c r="P395" s="679"/>
      <c r="Q395" s="679"/>
      <c r="R395" s="674"/>
      <c r="S395" s="674"/>
      <c r="T395" s="674"/>
      <c r="U395" s="674"/>
      <c r="V395" s="674"/>
      <c r="W395" s="679"/>
      <c r="X395" s="674"/>
      <c r="Y395" s="674"/>
      <c r="Z395" s="674"/>
      <c r="AA395" s="674"/>
    </row>
    <row r="396" spans="1:27" x14ac:dyDescent="0.25">
      <c r="A396" s="114" t="str">
        <f t="shared" si="65"/>
        <v/>
      </c>
      <c r="B396" s="271" t="str">
        <f t="shared" si="66"/>
        <v/>
      </c>
      <c r="C396" s="130" t="str">
        <f>IFERROR(IF(ROUND(IF(totalyrs&gt;9,IF('Salary Detail'!$F$18="X",(IF(F48*(1+$K$15)^9&gt; MAXSAL,(MAXSAL*G396),(F48*G396*yr10percent*(1+$K$15)^9))),(F48*G396*yr10percent*(1+$K$15)^9)),0),0)=0,"",ROUND(IF(totalyrs&gt;9,IF('Salary Detail'!$F$18="X",(IF(F48*(1+$K$15)^9&gt; MAXSAL,(MAXSAL*G396),(F48*G396*yr10percent*(1+$K$15)^9))),(F48*G396*yr10percent*(1+$K$15)^9)),0),0)),"")</f>
        <v/>
      </c>
      <c r="D396" s="115" t="str">
        <f t="shared" si="70"/>
        <v/>
      </c>
      <c r="E396" s="266" t="str">
        <f t="shared" si="67"/>
        <v/>
      </c>
      <c r="F396" s="116" t="str">
        <f t="shared" si="68"/>
        <v/>
      </c>
      <c r="G396" s="185" t="str">
        <f t="shared" si="69"/>
        <v/>
      </c>
      <c r="H396" s="209"/>
      <c r="I396" s="209"/>
      <c r="J396" s="209"/>
      <c r="K396" s="209"/>
      <c r="L396" s="209"/>
      <c r="M396" s="209"/>
      <c r="N396" s="209"/>
      <c r="O396" s="209"/>
      <c r="P396" s="679"/>
      <c r="Q396" s="679"/>
      <c r="R396" s="674"/>
      <c r="S396" s="674"/>
      <c r="T396" s="674"/>
      <c r="U396" s="674"/>
      <c r="V396" s="674"/>
      <c r="W396" s="679"/>
      <c r="X396" s="674"/>
      <c r="Y396" s="674"/>
      <c r="Z396" s="674"/>
      <c r="AA396" s="674"/>
    </row>
    <row r="397" spans="1:27" x14ac:dyDescent="0.25">
      <c r="A397" s="114" t="str">
        <f t="shared" si="65"/>
        <v/>
      </c>
      <c r="B397" s="271" t="str">
        <f t="shared" si="66"/>
        <v/>
      </c>
      <c r="C397" s="130" t="str">
        <f>IFERROR(IF(ROUND(IF(totalyrs&gt;9,IF('Salary Detail'!$F$18="X",(IF(F49*(1+$K$15)^9&gt; MAXSAL,(MAXSAL*G397),(F49*G397*yr10percent*(1+$K$15)^9))),(F49*G397*yr10percent*(1+$K$15)^9)),0),0)=0,"",ROUND(IF(totalyrs&gt;9,IF('Salary Detail'!$F$18="X",(IF(F49*(1+$K$15)^9&gt; MAXSAL,(MAXSAL*G397),(F49*G397*yr10percent*(1+$K$15)^9))),(F49*G397*yr10percent*(1+$K$15)^9)),0),0)),"")</f>
        <v/>
      </c>
      <c r="D397" s="115" t="str">
        <f t="shared" si="70"/>
        <v/>
      </c>
      <c r="E397" s="266" t="str">
        <f t="shared" si="67"/>
        <v/>
      </c>
      <c r="F397" s="116" t="str">
        <f t="shared" si="68"/>
        <v/>
      </c>
      <c r="G397" s="185" t="str">
        <f t="shared" si="69"/>
        <v/>
      </c>
      <c r="H397" s="209"/>
      <c r="I397" s="209"/>
      <c r="J397" s="209"/>
      <c r="K397" s="209"/>
      <c r="L397" s="209"/>
      <c r="M397" s="209"/>
      <c r="N397" s="209"/>
      <c r="O397" s="209"/>
      <c r="P397" s="679"/>
      <c r="Q397" s="679"/>
      <c r="R397" s="674"/>
      <c r="S397" s="674"/>
      <c r="T397" s="674"/>
      <c r="U397" s="674"/>
      <c r="V397" s="674"/>
      <c r="W397" s="679"/>
      <c r="X397" s="674"/>
      <c r="Y397" s="674"/>
      <c r="Z397" s="674"/>
      <c r="AA397" s="674"/>
    </row>
    <row r="398" spans="1:27" x14ac:dyDescent="0.25">
      <c r="A398" s="114" t="str">
        <f t="shared" si="65"/>
        <v/>
      </c>
      <c r="B398" s="271" t="str">
        <f t="shared" si="66"/>
        <v/>
      </c>
      <c r="C398" s="130" t="str">
        <f>IFERROR(IF(ROUND(IF(totalyrs&gt;9,IF('Salary Detail'!$F$18="X",(IF(F50*(1+$K$15)^9&gt; MAXSAL,(MAXSAL*G398),(F50*G398*yr10percent*(1+$K$15)^9))),(F50*G398*yr10percent*(1+$K$15)^9)),0),0)=0,"",ROUND(IF(totalyrs&gt;9,IF('Salary Detail'!$F$18="X",(IF(F50*(1+$K$15)^9&gt; MAXSAL,(MAXSAL*G398),(F50*G398*yr10percent*(1+$K$15)^9))),(F50*G398*yr10percent*(1+$K$15)^9)),0),0)),"")</f>
        <v/>
      </c>
      <c r="D398" s="115" t="str">
        <f t="shared" si="70"/>
        <v/>
      </c>
      <c r="E398" s="266" t="str">
        <f t="shared" si="67"/>
        <v/>
      </c>
      <c r="F398" s="116" t="str">
        <f t="shared" si="68"/>
        <v/>
      </c>
      <c r="G398" s="185" t="str">
        <f t="shared" si="69"/>
        <v/>
      </c>
      <c r="H398" s="209"/>
      <c r="I398" s="209"/>
      <c r="J398" s="209"/>
      <c r="K398" s="209"/>
      <c r="L398" s="209"/>
      <c r="M398" s="209"/>
      <c r="N398" s="209"/>
      <c r="O398" s="209"/>
      <c r="P398" s="679"/>
      <c r="Q398" s="679"/>
      <c r="R398" s="674"/>
      <c r="S398" s="674"/>
      <c r="T398" s="674"/>
      <c r="U398" s="674"/>
      <c r="V398" s="674"/>
      <c r="W398" s="679"/>
      <c r="X398" s="674"/>
      <c r="Y398" s="674"/>
      <c r="Z398" s="674"/>
      <c r="AA398" s="674"/>
    </row>
    <row r="399" spans="1:27" x14ac:dyDescent="0.25">
      <c r="A399" s="114" t="str">
        <f t="shared" si="65"/>
        <v/>
      </c>
      <c r="B399" s="271" t="str">
        <f t="shared" si="66"/>
        <v/>
      </c>
      <c r="C399" s="130" t="str">
        <f>IFERROR(IF(ROUND(IF(totalyrs&gt;9,IF('Salary Detail'!$F$18="X",(IF(F51*(1+$K$15)^9&gt; MAXSAL,(MAXSAL*G399),(F51*G399*yr10percent*(1+$K$15)^9))),(F51*G399*yr10percent*(1+$K$15)^9)),0),0)=0,"",ROUND(IF(totalyrs&gt;9,IF('Salary Detail'!$F$18="X",(IF(F51*(1+$K$15)^9&gt; MAXSAL,(MAXSAL*G399),(F51*G399*yr10percent*(1+$K$15)^9))),(F51*G399*yr10percent*(1+$K$15)^9)),0),0)),"")</f>
        <v/>
      </c>
      <c r="D399" s="115" t="str">
        <f t="shared" si="70"/>
        <v/>
      </c>
      <c r="E399" s="266" t="str">
        <f t="shared" si="67"/>
        <v/>
      </c>
      <c r="F399" s="116" t="str">
        <f t="shared" si="68"/>
        <v/>
      </c>
      <c r="G399" s="185" t="str">
        <f t="shared" si="69"/>
        <v/>
      </c>
      <c r="H399" s="209"/>
      <c r="I399" s="209"/>
      <c r="J399" s="209"/>
      <c r="K399" s="209"/>
      <c r="L399" s="209"/>
      <c r="M399" s="209"/>
      <c r="N399" s="209"/>
      <c r="O399" s="209"/>
      <c r="P399" s="679"/>
      <c r="Q399" s="679"/>
      <c r="R399" s="674"/>
      <c r="S399" s="674"/>
      <c r="T399" s="674"/>
      <c r="U399" s="674"/>
      <c r="V399" s="674"/>
      <c r="W399" s="679"/>
      <c r="X399" s="674"/>
      <c r="Y399" s="674"/>
      <c r="Z399" s="674"/>
      <c r="AA399" s="674"/>
    </row>
    <row r="400" spans="1:27" x14ac:dyDescent="0.25">
      <c r="A400" s="114" t="str">
        <f t="shared" si="65"/>
        <v/>
      </c>
      <c r="B400" s="271" t="str">
        <f t="shared" si="66"/>
        <v/>
      </c>
      <c r="C400" s="130" t="str">
        <f>IFERROR(IF(ROUND(IF(totalyrs&gt;9,IF('Salary Detail'!$F$18="X",(IF(F52*(1+$K$15)^9&gt; MAXSAL,(MAXSAL*G400),(F52*G400*yr10percent*(1+$K$15)^9))),(F52*G400*yr10percent*(1+$K$15)^9)),0),0)=0,"",ROUND(IF(totalyrs&gt;9,IF('Salary Detail'!$F$18="X",(IF(F52*(1+$K$15)^9&gt; MAXSAL,(MAXSAL*G400),(F52*G400*yr10percent*(1+$K$15)^9))),(F52*G400*yr10percent*(1+$K$15)^9)),0),0)),"")</f>
        <v/>
      </c>
      <c r="D400" s="115" t="str">
        <f t="shared" si="70"/>
        <v/>
      </c>
      <c r="E400" s="266" t="str">
        <f t="shared" si="67"/>
        <v/>
      </c>
      <c r="F400" s="116" t="str">
        <f t="shared" si="68"/>
        <v/>
      </c>
      <c r="G400" s="185" t="str">
        <f t="shared" si="69"/>
        <v/>
      </c>
      <c r="H400" s="209"/>
      <c r="I400" s="209"/>
      <c r="J400" s="209"/>
      <c r="K400" s="209"/>
      <c r="L400" s="209"/>
      <c r="M400" s="209"/>
      <c r="N400" s="209"/>
      <c r="O400" s="209"/>
      <c r="P400" s="679"/>
      <c r="Q400" s="679"/>
      <c r="R400" s="674"/>
      <c r="S400" s="674"/>
      <c r="T400" s="674"/>
      <c r="U400" s="674"/>
      <c r="V400" s="674"/>
      <c r="W400" s="679"/>
      <c r="X400" s="674"/>
      <c r="Y400" s="674"/>
      <c r="Z400" s="674"/>
      <c r="AA400" s="674"/>
    </row>
    <row r="401" spans="1:27" x14ac:dyDescent="0.25">
      <c r="A401" s="114" t="str">
        <f t="shared" si="65"/>
        <v/>
      </c>
      <c r="B401" s="271" t="str">
        <f t="shared" si="66"/>
        <v/>
      </c>
      <c r="C401" s="130" t="str">
        <f>IFERROR(IF(ROUND(IF(totalyrs&gt;9,IF('Salary Detail'!$F$18="X",(IF(F53*(1+$K$15)^9&gt; MAXSAL,(MAXSAL*G401),(F53*G401*yr10percent*(1+$K$15)^9))),(F53*G401*yr10percent*(1+$K$15)^9)),0),0)=0,"",ROUND(IF(totalyrs&gt;9,IF('Salary Detail'!$F$18="X",(IF(F53*(1+$K$15)^9&gt; MAXSAL,(MAXSAL*G401),(F53*G401*yr10percent*(1+$K$15)^9))),(F53*G401*yr10percent*(1+$K$15)^9)),0),0)),"")</f>
        <v/>
      </c>
      <c r="D401" s="115" t="str">
        <f t="shared" si="70"/>
        <v/>
      </c>
      <c r="E401" s="266" t="str">
        <f t="shared" si="67"/>
        <v/>
      </c>
      <c r="F401" s="116" t="str">
        <f t="shared" si="68"/>
        <v/>
      </c>
      <c r="G401" s="185" t="str">
        <f t="shared" si="69"/>
        <v/>
      </c>
      <c r="H401" s="209"/>
      <c r="I401" s="209"/>
      <c r="J401" s="209"/>
      <c r="K401" s="209"/>
      <c r="L401" s="209"/>
      <c r="M401" s="209"/>
      <c r="N401" s="209"/>
      <c r="O401" s="209"/>
      <c r="P401" s="679"/>
      <c r="Q401" s="679"/>
      <c r="R401" s="674"/>
      <c r="S401" s="674"/>
      <c r="T401" s="674"/>
      <c r="U401" s="674"/>
      <c r="V401" s="674"/>
      <c r="W401" s="679"/>
      <c r="X401" s="674"/>
      <c r="Y401" s="674"/>
      <c r="Z401" s="674"/>
      <c r="AA401" s="674"/>
    </row>
    <row r="402" spans="1:27" x14ac:dyDescent="0.25">
      <c r="A402" s="114" t="str">
        <f t="shared" si="65"/>
        <v/>
      </c>
      <c r="B402" s="271" t="str">
        <f t="shared" si="66"/>
        <v/>
      </c>
      <c r="C402" s="130" t="str">
        <f>IFERROR(IF(ROUND(IF(totalyrs&gt;9,IF('Salary Detail'!$F$18="X",(IF(F54*(1+$K$15)^9&gt; MAXSAL,(MAXSAL*G402),(F54*G402*yr10percent*(1+$K$15)^9))),(F54*G402*yr10percent*(1+$K$15)^9)),0),0)=0,"",ROUND(IF(totalyrs&gt;9,IF('Salary Detail'!$F$18="X",(IF(F54*(1+$K$15)^9&gt; MAXSAL,(MAXSAL*G402),(F54*G402*yr10percent*(1+$K$15)^9))),(F54*G402*yr10percent*(1+$K$15)^9)),0),0)),"")</f>
        <v/>
      </c>
      <c r="D402" s="115" t="str">
        <f t="shared" si="70"/>
        <v/>
      </c>
      <c r="E402" s="266" t="str">
        <f t="shared" si="67"/>
        <v/>
      </c>
      <c r="F402" s="116" t="str">
        <f t="shared" si="68"/>
        <v/>
      </c>
      <c r="G402" s="185" t="str">
        <f t="shared" si="69"/>
        <v/>
      </c>
      <c r="H402" s="209"/>
      <c r="I402" s="209"/>
      <c r="J402" s="209"/>
      <c r="K402" s="209"/>
      <c r="L402" s="209"/>
      <c r="M402" s="209"/>
      <c r="N402" s="209"/>
      <c r="O402" s="209"/>
      <c r="P402" s="679"/>
      <c r="Q402" s="679"/>
      <c r="R402" s="674"/>
      <c r="S402" s="674"/>
      <c r="T402" s="674"/>
      <c r="U402" s="674"/>
      <c r="V402" s="674"/>
      <c r="W402" s="679"/>
      <c r="X402" s="674"/>
      <c r="Y402" s="674"/>
      <c r="Z402" s="674"/>
      <c r="AA402" s="674"/>
    </row>
    <row r="403" spans="1:27" x14ac:dyDescent="0.25">
      <c r="A403" s="114" t="str">
        <f t="shared" si="65"/>
        <v/>
      </c>
      <c r="B403" s="271" t="str">
        <f t="shared" si="66"/>
        <v/>
      </c>
      <c r="C403" s="130" t="str">
        <f>IFERROR(IF(ROUND(IF(totalyrs&gt;9,IF('Salary Detail'!$F$18="X",(IF(F55*(1+$K$15)^9&gt; MAXSAL,(MAXSAL*G403),(F55*G403*yr10percent*(1+$K$15)^9))),(F55*G403*yr10percent*(1+$K$15)^9)),0),0)=0,"",ROUND(IF(totalyrs&gt;9,IF('Salary Detail'!$F$18="X",(IF(F55*(1+$K$15)^9&gt; MAXSAL,(MAXSAL*G403),(F55*G403*yr10percent*(1+$K$15)^9))),(F55*G403*yr10percent*(1+$K$15)^9)),0),0)),"")</f>
        <v/>
      </c>
      <c r="D403" s="115" t="str">
        <f t="shared" si="70"/>
        <v/>
      </c>
      <c r="E403" s="266" t="str">
        <f t="shared" si="67"/>
        <v/>
      </c>
      <c r="F403" s="116" t="str">
        <f t="shared" si="68"/>
        <v/>
      </c>
      <c r="G403" s="185" t="str">
        <f t="shared" si="69"/>
        <v/>
      </c>
      <c r="H403" s="209"/>
      <c r="I403" s="209"/>
      <c r="J403" s="209"/>
      <c r="K403" s="209"/>
      <c r="L403" s="209"/>
      <c r="M403" s="209"/>
      <c r="N403" s="209"/>
      <c r="O403" s="209"/>
      <c r="P403" s="679"/>
      <c r="Q403" s="679"/>
      <c r="R403" s="674"/>
      <c r="S403" s="674"/>
      <c r="T403" s="674"/>
      <c r="U403" s="674"/>
      <c r="V403" s="674"/>
      <c r="W403" s="679"/>
      <c r="X403" s="674"/>
      <c r="Y403" s="674"/>
      <c r="Z403" s="674"/>
      <c r="AA403" s="674"/>
    </row>
    <row r="404" spans="1:27" x14ac:dyDescent="0.25">
      <c r="A404" s="114" t="str">
        <f t="shared" si="65"/>
        <v/>
      </c>
      <c r="B404" s="271" t="str">
        <f t="shared" si="66"/>
        <v/>
      </c>
      <c r="C404" s="130" t="str">
        <f>IFERROR(IF(ROUND(IF(totalyrs&gt;9,IF('Salary Detail'!$F$18="X",(IF(F56*(1+$K$15)^9&gt; MAXSAL,(MAXSAL*G404),(F56*G404*yr10percent*(1+$K$15)^9))),(F56*G404*yr10percent*(1+$K$15)^9)),0),0)=0,"",ROUND(IF(totalyrs&gt;9,IF('Salary Detail'!$F$18="X",(IF(F56*(1+$K$15)^9&gt; MAXSAL,(MAXSAL*G404),(F56*G404*yr10percent*(1+$K$15)^9))),(F56*G404*yr10percent*(1+$K$15)^9)),0),0)),"")</f>
        <v/>
      </c>
      <c r="D404" s="115" t="str">
        <f t="shared" si="70"/>
        <v/>
      </c>
      <c r="E404" s="266" t="str">
        <f t="shared" si="67"/>
        <v/>
      </c>
      <c r="F404" s="116" t="str">
        <f t="shared" si="68"/>
        <v/>
      </c>
      <c r="G404" s="185" t="str">
        <f t="shared" si="69"/>
        <v/>
      </c>
      <c r="H404" s="209"/>
      <c r="I404" s="209"/>
      <c r="J404" s="209"/>
      <c r="K404" s="209"/>
      <c r="L404" s="209"/>
      <c r="M404" s="209"/>
      <c r="N404" s="209"/>
      <c r="O404" s="209"/>
      <c r="P404" s="679"/>
      <c r="Q404" s="679"/>
      <c r="R404" s="674"/>
      <c r="S404" s="674"/>
      <c r="T404" s="674"/>
      <c r="U404" s="674"/>
      <c r="V404" s="674"/>
      <c r="W404" s="679"/>
      <c r="X404" s="674"/>
      <c r="Y404" s="674"/>
      <c r="Z404" s="674"/>
      <c r="AA404" s="674"/>
    </row>
    <row r="405" spans="1:27" x14ac:dyDescent="0.25">
      <c r="A405" s="114" t="str">
        <f t="shared" si="65"/>
        <v/>
      </c>
      <c r="B405" s="271" t="str">
        <f t="shared" si="66"/>
        <v/>
      </c>
      <c r="C405" s="130" t="str">
        <f>IFERROR(IF(ROUND(IF(totalyrs&gt;9,IF('Salary Detail'!$F$18="X",(IF(F57*(1+$K$15)^9&gt; MAXSAL,(MAXSAL*G405),(F57*G405*yr10percent*(1+$K$15)^9))),(F57*G405*yr10percent*(1+$K$15)^9)),0),0)=0,"",ROUND(IF(totalyrs&gt;9,IF('Salary Detail'!$F$18="X",(IF(F57*(1+$K$15)^9&gt; MAXSAL,(MAXSAL*G405),(F57*G405*yr10percent*(1+$K$15)^9))),(F57*G405*yr10percent*(1+$K$15)^9)),0),0)),"")</f>
        <v/>
      </c>
      <c r="D405" s="115" t="str">
        <f t="shared" si="70"/>
        <v/>
      </c>
      <c r="E405" s="266" t="str">
        <f t="shared" si="67"/>
        <v/>
      </c>
      <c r="F405" s="116" t="str">
        <f t="shared" si="68"/>
        <v/>
      </c>
      <c r="G405" s="185" t="str">
        <f t="shared" si="69"/>
        <v/>
      </c>
      <c r="H405" s="209"/>
      <c r="I405" s="209"/>
      <c r="J405" s="209"/>
      <c r="K405" s="209"/>
      <c r="L405" s="209"/>
      <c r="M405" s="209"/>
      <c r="N405" s="209"/>
      <c r="O405" s="209"/>
      <c r="P405" s="679"/>
      <c r="Q405" s="679"/>
      <c r="R405" s="674"/>
      <c r="S405" s="674"/>
      <c r="T405" s="674"/>
      <c r="U405" s="674"/>
      <c r="V405" s="674"/>
      <c r="W405" s="679"/>
      <c r="X405" s="674"/>
      <c r="Y405" s="674"/>
      <c r="Z405" s="674"/>
      <c r="AA405" s="674"/>
    </row>
    <row r="406" spans="1:27" x14ac:dyDescent="0.25">
      <c r="A406" s="114" t="str">
        <f t="shared" si="65"/>
        <v/>
      </c>
      <c r="B406" s="271" t="str">
        <f t="shared" si="66"/>
        <v/>
      </c>
      <c r="C406" s="130" t="str">
        <f>IFERROR(IF(ROUND(IF(totalyrs&gt;9,IF('Salary Detail'!$F$18="X",(IF(F58*(1+$K$15)^9&gt; MAXSAL,(MAXSAL*G406),(F58*G406*yr10percent*(1+$K$15)^9))),(F58*G406*yr10percent*(1+$K$15)^9)),0),0)=0,"",ROUND(IF(totalyrs&gt;9,IF('Salary Detail'!$F$18="X",(IF(F58*(1+$K$15)^9&gt; MAXSAL,(MAXSAL*G406),(F58*G406*yr10percent*(1+$K$15)^9))),(F58*G406*yr10percent*(1+$K$15)^9)),0),0)),"")</f>
        <v/>
      </c>
      <c r="D406" s="115" t="str">
        <f t="shared" si="70"/>
        <v/>
      </c>
      <c r="E406" s="266" t="str">
        <f t="shared" si="67"/>
        <v/>
      </c>
      <c r="F406" s="116" t="str">
        <f t="shared" si="68"/>
        <v/>
      </c>
      <c r="G406" s="185" t="str">
        <f t="shared" si="69"/>
        <v/>
      </c>
      <c r="H406" s="209"/>
      <c r="I406" s="209"/>
      <c r="J406" s="209"/>
      <c r="K406" s="209"/>
      <c r="L406" s="209"/>
      <c r="M406" s="209"/>
      <c r="N406" s="209"/>
      <c r="O406" s="209"/>
      <c r="P406" s="679"/>
      <c r="Q406" s="679"/>
      <c r="R406" s="674"/>
      <c r="S406" s="674"/>
      <c r="T406" s="674"/>
      <c r="U406" s="674"/>
      <c r="V406" s="674"/>
      <c r="W406" s="679"/>
      <c r="X406" s="674"/>
      <c r="Y406" s="674"/>
      <c r="Z406" s="674"/>
      <c r="AA406" s="674"/>
    </row>
    <row r="407" spans="1:27" x14ac:dyDescent="0.25">
      <c r="A407" s="114" t="str">
        <f t="shared" si="65"/>
        <v/>
      </c>
      <c r="B407" s="271" t="str">
        <f t="shared" si="66"/>
        <v/>
      </c>
      <c r="C407" s="130" t="str">
        <f>IFERROR(IF(ROUND(IF(totalyrs&gt;9,IF('Salary Detail'!$F$18="X",(IF(F59*(1+$K$15)^9&gt; MAXSAL,(MAXSAL*G407),(F59*G407*yr10percent*(1+$K$15)^9))),(F59*G407*yr10percent*(1+$K$15)^9)),0),0)=0,"",ROUND(IF(totalyrs&gt;9,IF('Salary Detail'!$F$18="X",(IF(F59*(1+$K$15)^9&gt; MAXSAL,(MAXSAL*G407),(F59*G407*yr10percent*(1+$K$15)^9))),(F59*G407*yr10percent*(1+$K$15)^9)),0),0)),"")</f>
        <v/>
      </c>
      <c r="D407" s="115" t="str">
        <f t="shared" si="70"/>
        <v/>
      </c>
      <c r="E407" s="266" t="str">
        <f t="shared" si="67"/>
        <v/>
      </c>
      <c r="F407" s="116" t="str">
        <f t="shared" si="68"/>
        <v/>
      </c>
      <c r="G407" s="185" t="str">
        <f t="shared" si="69"/>
        <v/>
      </c>
      <c r="H407" s="209"/>
      <c r="I407" s="209"/>
      <c r="J407" s="209"/>
      <c r="K407" s="209"/>
      <c r="L407" s="209"/>
      <c r="M407" s="209"/>
      <c r="N407" s="209"/>
      <c r="O407" s="209"/>
      <c r="P407" s="679"/>
      <c r="Q407" s="679"/>
      <c r="R407" s="674"/>
      <c r="S407" s="674"/>
      <c r="T407" s="674"/>
      <c r="U407" s="674"/>
      <c r="V407" s="674"/>
      <c r="W407" s="679"/>
      <c r="X407" s="674"/>
      <c r="Y407" s="674"/>
      <c r="Z407" s="674"/>
      <c r="AA407" s="674"/>
    </row>
    <row r="408" spans="1:27" x14ac:dyDescent="0.25">
      <c r="A408" s="114" t="str">
        <f t="shared" si="65"/>
        <v/>
      </c>
      <c r="B408" s="271" t="str">
        <f t="shared" si="66"/>
        <v/>
      </c>
      <c r="C408" s="130" t="str">
        <f>IFERROR(IF(ROUND(IF(totalyrs&gt;9,IF('Salary Detail'!$F$18="X",(IF(F60*(1+$K$15)^9&gt; MAXSAL,(MAXSAL*G408),(F60*G408*yr10percent*(1+$K$15)^9))),(F60*G408*yr10percent*(1+$K$15)^9)),0),0)=0,"",ROUND(IF(totalyrs&gt;9,IF('Salary Detail'!$F$18="X",(IF(F60*(1+$K$15)^9&gt; MAXSAL,(MAXSAL*G408),(F60*G408*yr10percent*(1+$K$15)^9))),(F60*G408*yr10percent*(1+$K$15)^9)),0),0)),"")</f>
        <v/>
      </c>
      <c r="D408" s="115" t="str">
        <f t="shared" si="70"/>
        <v/>
      </c>
      <c r="E408" s="266" t="str">
        <f t="shared" si="67"/>
        <v/>
      </c>
      <c r="F408" s="116" t="str">
        <f t="shared" si="68"/>
        <v/>
      </c>
      <c r="G408" s="185" t="str">
        <f t="shared" si="69"/>
        <v/>
      </c>
      <c r="H408" s="209"/>
      <c r="I408" s="209"/>
      <c r="J408" s="209"/>
      <c r="K408" s="209"/>
      <c r="L408" s="209"/>
      <c r="M408" s="209"/>
      <c r="N408" s="209"/>
      <c r="O408" s="209"/>
      <c r="P408" s="679"/>
      <c r="Q408" s="679"/>
      <c r="R408" s="674"/>
      <c r="S408" s="674"/>
      <c r="T408" s="674"/>
      <c r="U408" s="674"/>
      <c r="V408" s="674"/>
      <c r="W408" s="679"/>
      <c r="X408" s="674"/>
      <c r="Y408" s="674"/>
      <c r="Z408" s="674"/>
      <c r="AA408" s="674"/>
    </row>
    <row r="409" spans="1:27" x14ac:dyDescent="0.25">
      <c r="A409" s="114" t="str">
        <f t="shared" si="65"/>
        <v/>
      </c>
      <c r="B409" s="271" t="str">
        <f t="shared" si="66"/>
        <v/>
      </c>
      <c r="C409" s="130" t="str">
        <f>IFERROR(IF(ROUND(IF(totalyrs&gt;9,IF('Salary Detail'!$F$18="X",(IF(F61*(1+$K$15)^9&gt; MAXSAL,(MAXSAL*G409),(F61*G409*yr10percent*(1+$K$15)^9))),(F61*G409*yr10percent*(1+$K$15)^9)),0),0)=0,"",ROUND(IF(totalyrs&gt;9,IF('Salary Detail'!$F$18="X",(IF(F61*(1+$K$15)^9&gt; MAXSAL,(MAXSAL*G409),(F61*G409*yr10percent*(1+$K$15)^9))),(F61*G409*yr10percent*(1+$K$15)^9)),0),0)),"")</f>
        <v/>
      </c>
      <c r="D409" s="115" t="str">
        <f t="shared" si="70"/>
        <v/>
      </c>
      <c r="E409" s="266" t="str">
        <f t="shared" si="67"/>
        <v/>
      </c>
      <c r="F409" s="116" t="str">
        <f t="shared" si="68"/>
        <v/>
      </c>
      <c r="G409" s="185" t="str">
        <f t="shared" si="69"/>
        <v/>
      </c>
      <c r="H409" s="209"/>
      <c r="I409" s="209"/>
      <c r="J409" s="209"/>
      <c r="K409" s="209"/>
      <c r="L409" s="209"/>
      <c r="M409" s="209"/>
      <c r="N409" s="209"/>
      <c r="O409" s="209"/>
      <c r="P409" s="679"/>
      <c r="Q409" s="679"/>
      <c r="R409" s="674"/>
      <c r="S409" s="674"/>
      <c r="T409" s="674"/>
      <c r="U409" s="674"/>
      <c r="V409" s="674"/>
      <c r="W409" s="679"/>
      <c r="X409" s="674"/>
      <c r="Y409" s="674"/>
      <c r="Z409" s="674"/>
      <c r="AA409" s="674"/>
    </row>
    <row r="410" spans="1:27" x14ac:dyDescent="0.25">
      <c r="A410" s="114" t="str">
        <f t="shared" si="65"/>
        <v/>
      </c>
      <c r="B410" s="271" t="str">
        <f t="shared" si="66"/>
        <v/>
      </c>
      <c r="C410" s="130" t="str">
        <f>IFERROR(IF(ROUND(IF(totalyrs&gt;9,IF('Salary Detail'!$F$18="X",(IF(F62*(1+$K$15)^9&gt; MAXSAL,(MAXSAL*G410),(F62*G410*yr10percent*(1+$K$15)^9))),(F62*G410*yr10percent*(1+$K$15)^9)),0),0)=0,"",ROUND(IF(totalyrs&gt;9,IF('Salary Detail'!$F$18="X",(IF(F62*(1+$K$15)^9&gt; MAXSAL,(MAXSAL*G410),(F62*G410*yr10percent*(1+$K$15)^9))),(F62*G410*yr10percent*(1+$K$15)^9)),0),0)),"")</f>
        <v/>
      </c>
      <c r="D410" s="115" t="str">
        <f t="shared" si="70"/>
        <v/>
      </c>
      <c r="E410" s="266" t="str">
        <f t="shared" si="67"/>
        <v/>
      </c>
      <c r="F410" s="116" t="str">
        <f t="shared" si="68"/>
        <v/>
      </c>
      <c r="G410" s="185" t="str">
        <f t="shared" si="69"/>
        <v/>
      </c>
      <c r="H410" s="209"/>
      <c r="I410" s="209"/>
      <c r="J410" s="209"/>
      <c r="K410" s="209"/>
      <c r="L410" s="209"/>
      <c r="M410" s="209"/>
      <c r="N410" s="209"/>
      <c r="O410" s="209"/>
      <c r="P410" s="679"/>
      <c r="Q410" s="679"/>
      <c r="R410" s="674"/>
      <c r="S410" s="674"/>
      <c r="T410" s="674"/>
      <c r="U410" s="674"/>
      <c r="V410" s="674"/>
      <c r="W410" s="679"/>
      <c r="X410" s="674"/>
      <c r="Y410" s="674"/>
      <c r="Z410" s="674"/>
      <c r="AA410" s="674"/>
    </row>
    <row r="411" spans="1:27" x14ac:dyDescent="0.25">
      <c r="A411" s="122" t="s">
        <v>50</v>
      </c>
      <c r="B411" s="276"/>
      <c r="C411" s="133">
        <f>SUM(C371:C410)</f>
        <v>0</v>
      </c>
      <c r="D411" s="117">
        <f>SUM(D371:D410)</f>
        <v>0</v>
      </c>
      <c r="E411" s="278"/>
      <c r="F411" s="123">
        <f t="shared" ref="F411" si="71">C411+D411</f>
        <v>0</v>
      </c>
      <c r="G411" s="219"/>
      <c r="H411" s="209"/>
      <c r="I411" s="209"/>
      <c r="J411" s="209"/>
      <c r="K411" s="209"/>
      <c r="L411" s="209"/>
      <c r="M411" s="209"/>
      <c r="N411" s="209"/>
      <c r="O411" s="209"/>
      <c r="P411" s="679"/>
      <c r="Q411" s="679"/>
      <c r="R411" s="679"/>
      <c r="S411" s="674"/>
      <c r="T411" s="674"/>
      <c r="U411" s="674"/>
      <c r="V411" s="674"/>
      <c r="W411" s="674"/>
      <c r="X411" s="674"/>
      <c r="Y411" s="674"/>
      <c r="Z411" s="674"/>
      <c r="AA411" s="674"/>
    </row>
    <row r="412" spans="1:27" x14ac:dyDescent="0.25">
      <c r="A412" s="98" t="s">
        <v>177</v>
      </c>
      <c r="B412" s="98"/>
      <c r="C412" s="34"/>
      <c r="D412" s="30"/>
      <c r="E412" s="30"/>
      <c r="F412" s="30"/>
      <c r="G412" s="209"/>
      <c r="H412" s="209"/>
      <c r="I412" s="209"/>
      <c r="J412" s="209"/>
      <c r="K412" s="209"/>
      <c r="L412" s="227"/>
      <c r="M412" s="227"/>
      <c r="N412" s="209"/>
      <c r="O412" s="209"/>
      <c r="P412" s="687"/>
      <c r="Q412" s="687"/>
      <c r="R412" s="687"/>
      <c r="S412" s="674"/>
      <c r="T412" s="674"/>
      <c r="U412" s="674"/>
      <c r="V412" s="674"/>
      <c r="W412" s="674"/>
      <c r="X412" s="674"/>
      <c r="Y412" s="674"/>
      <c r="Z412" s="674"/>
      <c r="AA412" s="674"/>
    </row>
    <row r="413" spans="1:27" ht="12.75" customHeight="1" x14ac:dyDescent="0.25">
      <c r="A413" s="98" t="s">
        <v>176</v>
      </c>
      <c r="B413" s="98"/>
      <c r="C413" s="86">
        <f>I63+C123+K123+C195+K195+C267+K267+C339+K339+C411</f>
        <v>0</v>
      </c>
      <c r="D413" s="86">
        <f>L63+D123+L123+D195+L195+D267+L267+D339+L339+D411</f>
        <v>0</v>
      </c>
      <c r="E413" s="86"/>
      <c r="F413" s="86">
        <f>N63+F123+N123+F195+N195+F267+N267+F339+N339+F411</f>
        <v>0</v>
      </c>
      <c r="G413" s="207"/>
      <c r="H413" s="207"/>
      <c r="I413" s="209"/>
      <c r="J413" s="209"/>
      <c r="K413" s="209"/>
      <c r="L413" s="209"/>
      <c r="M413" s="209"/>
      <c r="N413" s="209"/>
      <c r="O413" s="207"/>
      <c r="P413" s="679"/>
      <c r="Q413" s="691"/>
      <c r="R413" s="679"/>
      <c r="S413" s="673"/>
      <c r="T413" s="674"/>
      <c r="U413" s="674"/>
      <c r="V413" s="674"/>
      <c r="W413" s="674"/>
      <c r="X413" s="674"/>
      <c r="Y413" s="674"/>
      <c r="Z413" s="674"/>
      <c r="AA413" s="674"/>
    </row>
    <row r="414" spans="1:27" ht="12.75" customHeight="1" x14ac:dyDescent="0.25">
      <c r="A414" s="30"/>
      <c r="B414" s="30"/>
      <c r="C414" s="87"/>
      <c r="D414" s="134"/>
      <c r="E414" s="134"/>
      <c r="F414" s="134"/>
      <c r="G414" s="228"/>
      <c r="H414" s="207"/>
      <c r="I414" s="228"/>
      <c r="J414" s="228"/>
      <c r="K414" s="228"/>
      <c r="L414" s="229"/>
      <c r="M414" s="229"/>
      <c r="N414" s="209"/>
      <c r="O414" s="207"/>
      <c r="P414" s="679"/>
      <c r="Q414" s="691"/>
      <c r="R414" s="679"/>
      <c r="S414" s="673"/>
      <c r="T414" s="674"/>
      <c r="U414" s="674"/>
      <c r="V414" s="674"/>
      <c r="W414" s="674"/>
      <c r="X414" s="674"/>
      <c r="Y414" s="674"/>
      <c r="Z414" s="674"/>
      <c r="AA414" s="674"/>
    </row>
    <row r="415" spans="1:27" x14ac:dyDescent="0.25">
      <c r="A415" s="30"/>
      <c r="B415" s="30"/>
      <c r="C415" s="34"/>
      <c r="D415" s="30"/>
      <c r="E415" s="30"/>
      <c r="F415" s="30"/>
      <c r="G415" s="30"/>
      <c r="H415" s="30"/>
      <c r="I415" s="83"/>
      <c r="J415" s="83"/>
    </row>
    <row r="416" spans="1:27" x14ac:dyDescent="0.25">
      <c r="A416" s="30"/>
      <c r="B416" s="30"/>
      <c r="C416" s="34"/>
      <c r="D416" s="30"/>
      <c r="E416" s="30"/>
      <c r="F416" s="30"/>
      <c r="G416" s="30"/>
    </row>
    <row r="417" spans="1:21" x14ac:dyDescent="0.25">
      <c r="A417" s="30"/>
      <c r="B417" s="30"/>
      <c r="C417" s="34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O417" s="85" t="s">
        <v>185</v>
      </c>
      <c r="P417" s="30"/>
      <c r="Q417" s="30"/>
      <c r="R417" s="30"/>
    </row>
    <row r="418" spans="1:21" x14ac:dyDescent="0.25">
      <c r="A418" s="30"/>
      <c r="B418" s="30"/>
      <c r="C418" s="34"/>
      <c r="D418" s="30"/>
      <c r="E418" s="30"/>
      <c r="F418" s="30"/>
      <c r="I418" s="143">
        <v>2</v>
      </c>
      <c r="J418" s="143"/>
      <c r="K418" s="143">
        <v>3</v>
      </c>
      <c r="L418" s="143">
        <v>4</v>
      </c>
      <c r="M418" s="143"/>
      <c r="N418" s="143">
        <v>5</v>
      </c>
      <c r="O418" s="143">
        <v>6</v>
      </c>
      <c r="P418" s="143">
        <v>7</v>
      </c>
      <c r="Q418" s="143">
        <v>8</v>
      </c>
      <c r="R418" s="143">
        <v>9</v>
      </c>
      <c r="S418" s="143">
        <v>10</v>
      </c>
    </row>
    <row r="419" spans="1:21" x14ac:dyDescent="0.25">
      <c r="A419" s="30" t="s">
        <v>183</v>
      </c>
      <c r="B419" s="30"/>
      <c r="C419" s="34" t="str">
        <f>IF(ENDDATE&lt;=CURRENTFYE,"A",IF(ENDDATE&gt;CURRENTFYE+365,"D","B"))</f>
        <v>A</v>
      </c>
      <c r="D419" s="30"/>
      <c r="E419" s="30"/>
      <c r="F419" s="30" t="s">
        <v>184</v>
      </c>
      <c r="G419" s="30"/>
      <c r="H419" t="s">
        <v>186</v>
      </c>
      <c r="I419" s="145">
        <f>IF(ProjectType = "A",IF(ENDDATE+365*yr2percent&lt;CURRENTFYE,365*yr2percent,CURRENTFYE-ENDDATE),0)/365/yr2percent</f>
        <v>1</v>
      </c>
      <c r="J419" s="145"/>
      <c r="K419" s="145">
        <f>IF(ProjectType = "A",IF(ENDDATE+365*yr3percent&lt;CURRENTFYE,365*yr3percent,CURRENTFYE-ENDDATE),0)/365/yr3percent</f>
        <v>1</v>
      </c>
      <c r="L419" s="145">
        <f>IF(ProjectType = "A",IF(ENDDATE+365*yr4percent&lt;CURRENTFYE,365*yr4percent,CURRENTFYE-ENDDATE),0)/365/yr4percent</f>
        <v>1</v>
      </c>
      <c r="M419" s="145"/>
      <c r="N419" s="145">
        <f>IF(ProjectType = "A",IF(ENDDATE+365*yr5percent&lt;CURRENTFYE,365*yr5percent,CURRENTFYE-ENDDATE),0)/365/yr5percent</f>
        <v>1</v>
      </c>
      <c r="O419" s="145">
        <f>IF(ProjectType = "A",IF(ENDDATE+365*yr6percent&lt;CURRENTFYE,365*yr6percent,CURRENTFYE-ENDDATE),0)/365/yr6percent</f>
        <v>1</v>
      </c>
      <c r="P419" s="145">
        <f>IF(ProjectType = "A",IF(ENDDATE+365*yr7percent&lt;CURRENTFYE,365*yr7percent,CURRENTFYE-ENDDATE),0)/365/yr7percent</f>
        <v>1</v>
      </c>
      <c r="Q419" s="145">
        <f>IF(ProjectType = "A",IF(ENDDATE+365*yr8percent&lt;CURRENTFYE,365*yr8percent,CURRENTFYE-ENDDATE),0)/365/yr8percent</f>
        <v>1</v>
      </c>
      <c r="R419" s="145">
        <f>IF(ProjectType = "A",IF(ENDDATE+365*yr9percent&lt;CURRENTFYE,365*yr9percent,CURRENTFYE-ENDDATE),0)/365/yr9percent</f>
        <v>1</v>
      </c>
      <c r="S419" s="145">
        <f>IF(ProjectType = "A",IF(ENDDATE+365*yr10percent&lt;CURRENTFYE,365*yr10percent,CURRENTFYE-ENDDATE),0)/365/yr10percent</f>
        <v>1</v>
      </c>
    </row>
    <row r="420" spans="1:21" x14ac:dyDescent="0.25">
      <c r="A420" t="s">
        <v>178</v>
      </c>
      <c r="F420" s="138">
        <f>IF(ENDDATE&lt;=CURRENTFYE,1,IF(STARTDATE&lt;CURRENTFYE,(CURRENTFYE-STARTDATE)/(ENDDATE-STARTDATE),0))</f>
        <v>1</v>
      </c>
      <c r="H420" t="s">
        <v>187</v>
      </c>
      <c r="I420" s="145">
        <f>IF(ProjectType = "A",IF(ENDDATE+365*yr2percent&gt;CURRENTFYE,ENDDATE+365*yr2percent-CURRENTFYE,0),IF(ProjectType = "B",IF(ENDDATE+365*yr2percent&gt;CURRENTFYE+365,CURRENTFYE+365-ENDDATE,365*yr2percent),0))/365/yr2percent</f>
        <v>0</v>
      </c>
      <c r="J420" s="145"/>
      <c r="K420" s="145">
        <f>IF(ProjectType = "A",IF(ENDDATE+365*yr3percent&gt;CURRENTFYE,ENDDATE+365*yr3percent-CURRENTFYE,0),IF(ProjectType = "B",IF(ENDDATE+365*yr3percent&gt;CURRENTFYE+365,CURRENTFYE+365-ENDDATE,365*yr3percent),0))/365/yr3percent</f>
        <v>0</v>
      </c>
      <c r="L420" s="145">
        <f>IF(ProjectType = "A",IF(ENDDATE+365*yr4percent&gt;CURRENTFYE,ENDDATE+365*yr4percent-CURRENTFYE,0),IF(ProjectType = "B",IF(ENDDATE+365*yr4percent&gt;CURRENTFYE+365,CURRENTFYE+365-ENDDATE,365*yr4percent),0))/365/yr4percent</f>
        <v>0</v>
      </c>
      <c r="M420" s="145"/>
      <c r="N420" s="145">
        <f>IF(ProjectType = "A",IF(ENDDATE+365*yr5percent&gt;CURRENTFYE,ENDDATE+365*yr5percent-CURRENTFYE,0),IF(ProjectType = "B",IF(ENDDATE+365*yr5percent&gt;CURRENTFYE+365,CURRENTFYE+365-ENDDATE,365*yr5percent),0))/365/yr5percent</f>
        <v>0</v>
      </c>
      <c r="O420" s="145">
        <f>IF(ProjectType = "A",IF(ENDDATE+365*yr6percent&gt;CURRENTFYE,ENDDATE+365*yr6percent-CURRENTFYE,0),IF(ProjectType = "B",IF(ENDDATE+365*yr6percent&gt;CURRENTFYE+365,CURRENTFYE+365-ENDDATE,365*yr6percent),0))/365/yr6percent</f>
        <v>0</v>
      </c>
      <c r="P420" s="145">
        <f>IF(ProjectType = "A",IF(ENDDATE+365*yr7percent&gt;CURRENTFYE,ENDDATE+365*yr7percent-CURRENTFYE,0),IF(ProjectType = "B",IF(ENDDATE+365*yr7percent&gt;CURRENTFYE+365,CURRENTFYE+365-ENDDATE,365*yr7percent),0))/365/yr7percent</f>
        <v>0</v>
      </c>
      <c r="Q420" s="145">
        <f>IF(ProjectType = "A",IF(ENDDATE+365*yr8percent&gt;CURRENTFYE,ENDDATE+365*yr8percent-CURRENTFYE,0),IF(ProjectType = "B",IF(ENDDATE+365*yr8percent&gt;CURRENTFYE+365,CURRENTFYE+365-ENDDATE,365*yr8percent),0))/365/yr8percent</f>
        <v>0</v>
      </c>
      <c r="R420" s="145">
        <f>IF(ProjectType = "A",IF(ENDDATE+365*yr9percent&gt;CURRENTFYE,ENDDATE+365*yr9percent-CURRENTFYE,0),IF(ProjectType = "B",IF(ENDDATE+365*yr9percent&gt;CURRENTFYE+365,CURRENTFYE+365-ENDDATE,365*yr9percent),0))/365/yr9percent</f>
        <v>0</v>
      </c>
      <c r="S420" s="145">
        <f>IF(ProjectType = "A",IF(ENDDATE+365*yr10percent&gt;CURRENTFYE,ENDDATE+365*yr10percent-CURRENTFYE,0),IF(ProjectType = "B",IF(ENDDATE+365*yr10percent&gt;CURRENTFYE+365,CURRENTFYE+365-ENDDATE,365*yr10percent),0))/365/yr10percent</f>
        <v>0</v>
      </c>
    </row>
    <row r="421" spans="1:21" x14ac:dyDescent="0.25">
      <c r="A421" t="s">
        <v>179</v>
      </c>
      <c r="F421" s="138">
        <f>1-Year1Weight-Year3Weight</f>
        <v>0</v>
      </c>
      <c r="H421" t="s">
        <v>188</v>
      </c>
      <c r="I421" s="145">
        <f>1-I419-I420-I422</f>
        <v>0</v>
      </c>
      <c r="J421" s="145"/>
      <c r="K421" s="145">
        <f t="shared" ref="K421:S421" si="72">1-K419-K420-K422</f>
        <v>0</v>
      </c>
      <c r="L421" s="145">
        <f t="shared" si="72"/>
        <v>0</v>
      </c>
      <c r="M421" s="145"/>
      <c r="N421" s="145">
        <f t="shared" si="72"/>
        <v>0</v>
      </c>
      <c r="O421" s="145">
        <f t="shared" si="72"/>
        <v>0</v>
      </c>
      <c r="P421" s="145">
        <f t="shared" si="72"/>
        <v>0</v>
      </c>
      <c r="Q421" s="145">
        <f t="shared" si="72"/>
        <v>0</v>
      </c>
      <c r="R421" s="145">
        <f t="shared" si="72"/>
        <v>0</v>
      </c>
      <c r="S421" s="145">
        <f t="shared" si="72"/>
        <v>0</v>
      </c>
    </row>
    <row r="422" spans="1:21" x14ac:dyDescent="0.25">
      <c r="A422" t="s">
        <v>180</v>
      </c>
      <c r="F422" s="139">
        <f>IF(ENDDATE&lt;CURRENTFYE+365,0,(ENDDATE-(CURRENTFYE+365))/(ENDDATE-STARTDATE))</f>
        <v>0</v>
      </c>
      <c r="H422" t="s">
        <v>189</v>
      </c>
      <c r="I422" s="145">
        <f>IF(ProjectType = "D",IF(ENDDATE+365*yr2percent&gt;CURRENTFYE+2*365,ENDDATE+365*yr2percent-(CURRENTFYE+2*365),0))/365/yr2percent</f>
        <v>0</v>
      </c>
      <c r="J422" s="145"/>
      <c r="K422" s="145">
        <f>IF(ProjectType = "D",IF(ENDDATE+365*yr3percent&gt;CURRENTFYE+2*365,ENDDATE+365*yr3percent-(CURRENTFYE+2*365),0))/365/yr3percent</f>
        <v>0</v>
      </c>
      <c r="L422" s="145">
        <f>IF(ProjectType = "D",IF(ENDDATE+365*yr4percent&gt;CURRENTFYE+2*365,ENDDATE+365*yr4percent-(CURRENTFYE+2*365),0))/365/yr4percent</f>
        <v>0</v>
      </c>
      <c r="M422" s="145"/>
      <c r="N422" s="145">
        <f>IF(ProjectType = "D",IF(ENDDATE+365*yr5percent&gt;CURRENTFYE+2*365,ENDDATE+365*yr5percent-(CURRENTFYE+2*365),0))/365/yr5percent</f>
        <v>0</v>
      </c>
      <c r="O422" s="145">
        <f>IF(ProjectType = "D",IF(ENDDATE+365*yr6percent&gt;CURRENTFYE+2*365,ENDDATE+365*yr6percent-(CURRENTFYE+2*365),0))/365/yr6percent</f>
        <v>0</v>
      </c>
      <c r="P422" s="145">
        <f>IF(ProjectType = "D",IF(ENDDATE+365*yr7percent&gt;CURRENTFYE+2*365,ENDDATE+365*yr7percent-(CURRENTFYE+2*365),0))/365/yr7percent</f>
        <v>0</v>
      </c>
      <c r="Q422" s="145">
        <f>IF(ProjectType = "D",IF(ENDDATE+365*yr8percent&gt;CURRENTFYE+2*365,ENDDATE+365*yr8percent-(CURRENTFYE+2*365),0))/365/yr8percent</f>
        <v>0</v>
      </c>
      <c r="R422" s="145">
        <f>IF(ProjectType = "D",IF(ENDDATE+365*yr9percent&gt;CURRENTFYE+2*365,ENDDATE+365*yr9percent-(CURRENTFYE+2*365),0))/365/yr9percent</f>
        <v>0</v>
      </c>
      <c r="S422" s="145">
        <f>IF(ProjectType = "D",IF(ENDDATE+365*yr10percent&gt;CURRENTFYE+2*365,ENDDATE+365*yr10percent-(CURRENTFYE+2*365),0))/365/yr10percent</f>
        <v>0</v>
      </c>
    </row>
    <row r="423" spans="1:21" x14ac:dyDescent="0.25">
      <c r="L423" s="82"/>
      <c r="M423" s="82"/>
    </row>
    <row r="424" spans="1:21" x14ac:dyDescent="0.25">
      <c r="A424" s="30"/>
      <c r="B424" s="30"/>
      <c r="C424" s="34"/>
      <c r="D424" s="30"/>
      <c r="E424" s="30"/>
      <c r="F424" s="84" t="s">
        <v>173</v>
      </c>
      <c r="G424" s="84" t="s">
        <v>173</v>
      </c>
      <c r="H424" s="30"/>
      <c r="I424" s="30"/>
      <c r="J424" s="30"/>
      <c r="K424" s="30"/>
      <c r="L424" s="85"/>
      <c r="M424" s="85"/>
      <c r="N424" s="30" t="s">
        <v>172</v>
      </c>
      <c r="O424" s="30"/>
      <c r="P424" s="30"/>
      <c r="Q424" s="30"/>
      <c r="R424" s="30"/>
    </row>
    <row r="425" spans="1:21" x14ac:dyDescent="0.25">
      <c r="A425" s="86"/>
      <c r="B425" s="86"/>
      <c r="C425" s="87"/>
      <c r="D425" s="30"/>
      <c r="E425" s="30"/>
      <c r="F425" s="84" t="s">
        <v>174</v>
      </c>
      <c r="G425" s="30" t="s">
        <v>175</v>
      </c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</row>
    <row r="426" spans="1:21" x14ac:dyDescent="0.25">
      <c r="A426" s="84" t="s">
        <v>158</v>
      </c>
      <c r="B426" s="84"/>
      <c r="C426" s="34" t="s">
        <v>159</v>
      </c>
      <c r="D426" s="30"/>
      <c r="E426" s="30"/>
      <c r="F426" s="30"/>
      <c r="G426" s="144">
        <v>1</v>
      </c>
      <c r="H426" s="144">
        <v>2</v>
      </c>
      <c r="I426" s="144">
        <v>3</v>
      </c>
      <c r="J426" s="144"/>
      <c r="K426" s="144">
        <v>4</v>
      </c>
      <c r="L426" s="144">
        <v>5</v>
      </c>
      <c r="M426" s="144"/>
      <c r="N426" s="144">
        <v>6</v>
      </c>
      <c r="O426" s="144">
        <v>7</v>
      </c>
      <c r="P426" s="144">
        <v>8</v>
      </c>
      <c r="Q426" s="144">
        <v>9</v>
      </c>
      <c r="R426" s="144">
        <v>10</v>
      </c>
      <c r="S426" s="144">
        <v>11</v>
      </c>
      <c r="T426" s="144">
        <v>12</v>
      </c>
      <c r="U426" s="144">
        <v>13</v>
      </c>
    </row>
    <row r="427" spans="1:21" x14ac:dyDescent="0.25">
      <c r="A427" s="88">
        <v>0</v>
      </c>
      <c r="B427" s="88"/>
      <c r="C427" s="89">
        <v>0</v>
      </c>
      <c r="D427" s="30"/>
      <c r="E427" s="30"/>
      <c r="F427" s="90">
        <v>0</v>
      </c>
      <c r="G427" s="90">
        <v>0</v>
      </c>
      <c r="H427" s="140">
        <v>0</v>
      </c>
      <c r="I427" s="140">
        <v>0</v>
      </c>
      <c r="J427" s="140"/>
      <c r="K427" s="140">
        <v>0</v>
      </c>
      <c r="L427" s="140">
        <v>0</v>
      </c>
      <c r="M427" s="140"/>
      <c r="N427" s="140">
        <v>0</v>
      </c>
      <c r="O427" s="140">
        <v>0</v>
      </c>
      <c r="P427" s="140">
        <v>0</v>
      </c>
      <c r="Q427" s="140">
        <v>0</v>
      </c>
      <c r="R427" s="140">
        <v>0</v>
      </c>
      <c r="S427" s="140">
        <v>0</v>
      </c>
      <c r="T427" s="140">
        <v>0</v>
      </c>
      <c r="U427" s="140">
        <v>0</v>
      </c>
    </row>
    <row r="428" spans="1:21" x14ac:dyDescent="0.25">
      <c r="A428" s="84" t="s">
        <v>56</v>
      </c>
      <c r="B428" s="84"/>
      <c r="C428" s="89">
        <v>0.24</v>
      </c>
      <c r="D428" s="30"/>
      <c r="E428" s="30"/>
      <c r="F428" s="90">
        <v>10000</v>
      </c>
      <c r="G428" s="89">
        <v>0.49</v>
      </c>
      <c r="H428" s="91">
        <f t="shared" ref="H428:U434" si="73">$G428*(1+FringeIncrease)^G$426</f>
        <v>0.51449999999999996</v>
      </c>
      <c r="I428" s="91">
        <f t="shared" si="73"/>
        <v>0.54022499999999996</v>
      </c>
      <c r="J428" s="91"/>
      <c r="K428" s="91">
        <f t="shared" ref="K428:K434" si="74">$G428*(1+FringeIncrease)^I$426</f>
        <v>0.56723625</v>
      </c>
      <c r="L428" s="91">
        <f t="shared" si="73"/>
        <v>0.59559806250000003</v>
      </c>
      <c r="M428" s="91"/>
      <c r="N428" s="91">
        <f t="shared" ref="N428:N434" si="75">$G428*(1+FringeIncrease)^L$426</f>
        <v>0.62537796562500003</v>
      </c>
      <c r="O428" s="92">
        <f t="shared" si="73"/>
        <v>0.65664686390624993</v>
      </c>
      <c r="P428" s="91">
        <f t="shared" si="73"/>
        <v>0.68947920710156263</v>
      </c>
      <c r="Q428" s="91">
        <f t="shared" si="73"/>
        <v>0.72395316745664062</v>
      </c>
      <c r="R428" s="91">
        <f t="shared" si="73"/>
        <v>0.76015082582947269</v>
      </c>
      <c r="S428" s="91">
        <f t="shared" si="73"/>
        <v>0.79815836712094634</v>
      </c>
      <c r="T428" s="91">
        <f t="shared" si="73"/>
        <v>0.83806628547699369</v>
      </c>
      <c r="U428" s="91">
        <f t="shared" si="73"/>
        <v>0.87996959975084332</v>
      </c>
    </row>
    <row r="429" spans="1:21" x14ac:dyDescent="0.25">
      <c r="A429" s="84" t="s">
        <v>57</v>
      </c>
      <c r="B429" s="84"/>
      <c r="C429" s="89">
        <v>0.24</v>
      </c>
      <c r="D429" s="30"/>
      <c r="E429" s="30"/>
      <c r="F429" s="90">
        <v>15001</v>
      </c>
      <c r="G429" s="89">
        <v>0.45</v>
      </c>
      <c r="H429" s="91">
        <f t="shared" si="73"/>
        <v>0.47250000000000003</v>
      </c>
      <c r="I429" s="91">
        <f t="shared" si="73"/>
        <v>0.49612500000000004</v>
      </c>
      <c r="J429" s="91"/>
      <c r="K429" s="91">
        <f t="shared" si="74"/>
        <v>0.52093125000000007</v>
      </c>
      <c r="L429" s="91">
        <f t="shared" si="73"/>
        <v>0.54697781249999999</v>
      </c>
      <c r="M429" s="91"/>
      <c r="N429" s="91">
        <f t="shared" si="75"/>
        <v>0.57432670312500012</v>
      </c>
      <c r="O429" s="92">
        <f t="shared" si="73"/>
        <v>0.60304303828125005</v>
      </c>
      <c r="P429" s="91">
        <f t="shared" si="73"/>
        <v>0.63319519019531267</v>
      </c>
      <c r="Q429" s="91">
        <f t="shared" si="73"/>
        <v>0.66485494970507819</v>
      </c>
      <c r="R429" s="91">
        <f t="shared" si="73"/>
        <v>0.6980976971903321</v>
      </c>
      <c r="S429" s="91">
        <f t="shared" si="73"/>
        <v>0.73300258204984869</v>
      </c>
      <c r="T429" s="91">
        <f t="shared" si="73"/>
        <v>0.76965271115234124</v>
      </c>
      <c r="U429" s="91">
        <f t="shared" si="73"/>
        <v>0.80813534670995812</v>
      </c>
    </row>
    <row r="430" spans="1:21" x14ac:dyDescent="0.25">
      <c r="A430" s="84" t="s">
        <v>111</v>
      </c>
      <c r="B430" s="84"/>
      <c r="C430" s="89">
        <v>0.16</v>
      </c>
      <c r="D430" s="30"/>
      <c r="E430" s="30"/>
      <c r="F430" s="90">
        <v>25001</v>
      </c>
      <c r="G430" s="89">
        <v>0.42</v>
      </c>
      <c r="H430" s="91">
        <f t="shared" si="73"/>
        <v>0.441</v>
      </c>
      <c r="I430" s="91">
        <f t="shared" si="73"/>
        <v>0.46305000000000002</v>
      </c>
      <c r="J430" s="91"/>
      <c r="K430" s="91">
        <f t="shared" si="74"/>
        <v>0.48620250000000004</v>
      </c>
      <c r="L430" s="91">
        <f t="shared" si="73"/>
        <v>0.51051262499999994</v>
      </c>
      <c r="M430" s="91"/>
      <c r="N430" s="91">
        <f t="shared" si="75"/>
        <v>0.53603825625000001</v>
      </c>
      <c r="O430" s="92">
        <f t="shared" si="73"/>
        <v>0.56284016906250001</v>
      </c>
      <c r="P430" s="91">
        <f t="shared" si="73"/>
        <v>0.5909821775156251</v>
      </c>
      <c r="Q430" s="91">
        <f t="shared" si="73"/>
        <v>0.62053128639140631</v>
      </c>
      <c r="R430" s="91">
        <f t="shared" si="73"/>
        <v>0.6515578507109766</v>
      </c>
      <c r="S430" s="91">
        <f t="shared" si="73"/>
        <v>0.68413574324652549</v>
      </c>
      <c r="T430" s="91">
        <f t="shared" si="73"/>
        <v>0.71834253040885176</v>
      </c>
      <c r="U430" s="91">
        <f t="shared" si="73"/>
        <v>0.7542596569292942</v>
      </c>
    </row>
    <row r="431" spans="1:21" x14ac:dyDescent="0.25">
      <c r="A431" s="84" t="s">
        <v>133</v>
      </c>
      <c r="B431" s="84"/>
      <c r="C431" s="89">
        <v>0.02</v>
      </c>
      <c r="D431" s="30"/>
      <c r="E431" s="30"/>
      <c r="F431" s="90">
        <v>35001</v>
      </c>
      <c r="G431" s="89">
        <v>0.39</v>
      </c>
      <c r="H431" s="91">
        <f t="shared" si="73"/>
        <v>0.40950000000000003</v>
      </c>
      <c r="I431" s="91">
        <f t="shared" si="73"/>
        <v>0.42997500000000005</v>
      </c>
      <c r="J431" s="91"/>
      <c r="K431" s="91">
        <f t="shared" si="74"/>
        <v>0.45147375000000006</v>
      </c>
      <c r="L431" s="91">
        <f t="shared" si="73"/>
        <v>0.4740474375</v>
      </c>
      <c r="M431" s="91"/>
      <c r="N431" s="91">
        <f t="shared" si="75"/>
        <v>0.49774980937500007</v>
      </c>
      <c r="O431" s="92">
        <f t="shared" si="73"/>
        <v>0.52263729984374996</v>
      </c>
      <c r="P431" s="91">
        <f t="shared" si="73"/>
        <v>0.54876916483593763</v>
      </c>
      <c r="Q431" s="91">
        <f t="shared" si="73"/>
        <v>0.57620762307773443</v>
      </c>
      <c r="R431" s="91">
        <f t="shared" si="73"/>
        <v>0.60501800423162122</v>
      </c>
      <c r="S431" s="91">
        <f t="shared" si="73"/>
        <v>0.63526890444320228</v>
      </c>
      <c r="T431" s="91">
        <f t="shared" si="73"/>
        <v>0.6670323496653624</v>
      </c>
      <c r="U431" s="91">
        <f t="shared" si="73"/>
        <v>0.70038396714863038</v>
      </c>
    </row>
    <row r="432" spans="1:21" x14ac:dyDescent="0.25">
      <c r="A432" s="84" t="s">
        <v>58</v>
      </c>
      <c r="B432" s="84"/>
      <c r="C432" s="89">
        <v>0.03</v>
      </c>
      <c r="D432" s="30"/>
      <c r="E432" s="30"/>
      <c r="F432" s="90">
        <v>50001</v>
      </c>
      <c r="G432" s="89">
        <v>0.35</v>
      </c>
      <c r="H432" s="91">
        <f t="shared" si="73"/>
        <v>0.36749999999999999</v>
      </c>
      <c r="I432" s="91">
        <f>$G432*(1+FringeIncrease)^H$426</f>
        <v>0.38587499999999997</v>
      </c>
      <c r="J432" s="91"/>
      <c r="K432" s="91">
        <f t="shared" si="74"/>
        <v>0.40516875000000002</v>
      </c>
      <c r="L432" s="91">
        <f t="shared" si="73"/>
        <v>0.42542718749999997</v>
      </c>
      <c r="M432" s="91"/>
      <c r="N432" s="91">
        <f t="shared" si="75"/>
        <v>0.44669854687499999</v>
      </c>
      <c r="O432" s="92">
        <f t="shared" si="73"/>
        <v>0.46903347421874997</v>
      </c>
      <c r="P432" s="91">
        <f t="shared" si="73"/>
        <v>0.49248514792968756</v>
      </c>
      <c r="Q432" s="91">
        <f t="shared" si="73"/>
        <v>0.51710940532617189</v>
      </c>
      <c r="R432" s="91">
        <f t="shared" si="73"/>
        <v>0.54296487559248052</v>
      </c>
      <c r="S432" s="91">
        <f t="shared" si="73"/>
        <v>0.57011311937210452</v>
      </c>
      <c r="T432" s="91">
        <f t="shared" si="73"/>
        <v>0.59861877534070973</v>
      </c>
      <c r="U432" s="91">
        <f t="shared" si="73"/>
        <v>0.62854971410774518</v>
      </c>
    </row>
    <row r="433" spans="1:21" x14ac:dyDescent="0.25">
      <c r="A433" s="84" t="s">
        <v>59</v>
      </c>
      <c r="B433" s="84"/>
      <c r="C433" s="89">
        <v>0.14000000000000001</v>
      </c>
      <c r="D433" s="30"/>
      <c r="E433" s="30"/>
      <c r="F433" s="90">
        <v>75001</v>
      </c>
      <c r="G433" s="89">
        <v>0.31</v>
      </c>
      <c r="H433" s="91">
        <f t="shared" si="73"/>
        <v>0.32550000000000001</v>
      </c>
      <c r="I433" s="91">
        <f t="shared" si="73"/>
        <v>0.341775</v>
      </c>
      <c r="J433" s="91"/>
      <c r="K433" s="91">
        <f t="shared" si="74"/>
        <v>0.35886375000000004</v>
      </c>
      <c r="L433" s="91">
        <f t="shared" si="73"/>
        <v>0.37680693749999999</v>
      </c>
      <c r="M433" s="91"/>
      <c r="N433" s="91">
        <f t="shared" si="75"/>
        <v>0.39564728437500002</v>
      </c>
      <c r="O433" s="92">
        <f t="shared" si="73"/>
        <v>0.41542964859374998</v>
      </c>
      <c r="P433" s="91">
        <f t="shared" si="73"/>
        <v>0.43620113102343755</v>
      </c>
      <c r="Q433" s="91">
        <f t="shared" si="73"/>
        <v>0.4580111875746094</v>
      </c>
      <c r="R433" s="91">
        <f t="shared" si="73"/>
        <v>0.48091174695333988</v>
      </c>
      <c r="S433" s="91">
        <f t="shared" si="73"/>
        <v>0.50495733430100687</v>
      </c>
      <c r="T433" s="91">
        <f t="shared" si="73"/>
        <v>0.53020520101605728</v>
      </c>
      <c r="U433" s="91">
        <f t="shared" si="73"/>
        <v>0.5567154610668601</v>
      </c>
    </row>
    <row r="434" spans="1:21" x14ac:dyDescent="0.25">
      <c r="A434" s="84" t="s">
        <v>60</v>
      </c>
      <c r="B434" s="84"/>
      <c r="C434" s="89">
        <v>0</v>
      </c>
      <c r="D434" s="30"/>
      <c r="E434" s="30"/>
      <c r="F434" s="90">
        <v>100001</v>
      </c>
      <c r="G434" s="89">
        <v>0.29499999999999998</v>
      </c>
      <c r="H434" s="91">
        <f t="shared" si="73"/>
        <v>0.30974999999999997</v>
      </c>
      <c r="I434" s="91">
        <f t="shared" si="73"/>
        <v>0.32523750000000001</v>
      </c>
      <c r="J434" s="91"/>
      <c r="K434" s="91">
        <f t="shared" si="74"/>
        <v>0.34149937499999999</v>
      </c>
      <c r="L434" s="91">
        <f t="shared" si="73"/>
        <v>0.35857434374999997</v>
      </c>
      <c r="M434" s="91"/>
      <c r="N434" s="91">
        <f t="shared" si="75"/>
        <v>0.37650306093750002</v>
      </c>
      <c r="O434" s="92">
        <f t="shared" si="73"/>
        <v>0.39532821398437495</v>
      </c>
      <c r="P434" s="91">
        <f t="shared" si="73"/>
        <v>0.41509462468359382</v>
      </c>
      <c r="Q434" s="91">
        <f t="shared" si="73"/>
        <v>0.43584935591777346</v>
      </c>
      <c r="R434" s="91">
        <f t="shared" si="73"/>
        <v>0.45764182371366213</v>
      </c>
      <c r="S434" s="91">
        <f t="shared" si="73"/>
        <v>0.48052391489934526</v>
      </c>
      <c r="T434" s="91">
        <f t="shared" si="73"/>
        <v>0.50455011064431254</v>
      </c>
      <c r="U434" s="91">
        <f t="shared" si="73"/>
        <v>0.52977761617652808</v>
      </c>
    </row>
    <row r="435" spans="1:21" x14ac:dyDescent="0.25">
      <c r="A435" s="30"/>
      <c r="B435" s="30"/>
      <c r="C435" s="34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</row>
    <row r="436" spans="1:21" x14ac:dyDescent="0.25"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</row>
    <row r="437" spans="1:21" x14ac:dyDescent="0.25">
      <c r="A437" s="30" t="s">
        <v>171</v>
      </c>
      <c r="B437" s="30"/>
      <c r="C437" s="34"/>
      <c r="D437" s="30"/>
      <c r="E437" s="30"/>
      <c r="F437" s="89">
        <v>0.04</v>
      </c>
      <c r="G437" s="30"/>
      <c r="H437" s="30"/>
      <c r="I437" s="30" t="s">
        <v>121</v>
      </c>
      <c r="J437" s="30"/>
      <c r="L437" s="30"/>
      <c r="M437" s="30"/>
      <c r="N437" s="142" t="e">
        <f>1-K14/12+K10/12</f>
        <v>#VALUE!</v>
      </c>
      <c r="O437" s="30"/>
      <c r="P437" s="30"/>
      <c r="Q437" s="30"/>
      <c r="R437" s="30"/>
    </row>
    <row r="438" spans="1:21" x14ac:dyDescent="0.25">
      <c r="A438" s="30"/>
      <c r="B438" s="30"/>
      <c r="C438" s="34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</row>
    <row r="439" spans="1:21" x14ac:dyDescent="0.25">
      <c r="A439" s="30" t="s">
        <v>61</v>
      </c>
      <c r="B439" s="30"/>
      <c r="C439" s="34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</row>
    <row r="440" spans="1:21" x14ac:dyDescent="0.25">
      <c r="A440" s="30" t="s">
        <v>62</v>
      </c>
      <c r="B440" s="30"/>
      <c r="C440" s="34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</row>
    <row r="441" spans="1:21" x14ac:dyDescent="0.25">
      <c r="A441" s="30" t="s">
        <v>63</v>
      </c>
      <c r="B441" s="30"/>
      <c r="C441" s="34"/>
      <c r="D441" s="30"/>
      <c r="E441" s="30"/>
      <c r="F441" s="30"/>
      <c r="G441" s="136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</row>
    <row r="442" spans="1:21" x14ac:dyDescent="0.25">
      <c r="A442" s="30" t="s">
        <v>62</v>
      </c>
      <c r="B442" s="30"/>
      <c r="C442" s="34"/>
      <c r="D442" s="30"/>
      <c r="E442" s="30"/>
      <c r="F442" s="30"/>
      <c r="G442" s="30"/>
      <c r="H442" s="30"/>
      <c r="I442" s="93"/>
      <c r="J442" s="93"/>
      <c r="K442" s="30"/>
      <c r="L442" s="30"/>
      <c r="M442" s="30"/>
      <c r="N442" s="30"/>
      <c r="O442" s="30"/>
      <c r="P442" s="30"/>
      <c r="Q442" s="30"/>
      <c r="R442" s="30"/>
    </row>
    <row r="443" spans="1:21" x14ac:dyDescent="0.25">
      <c r="A443" s="30" t="s">
        <v>64</v>
      </c>
      <c r="B443" s="30"/>
      <c r="C443" s="34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</row>
    <row r="444" spans="1:21" x14ac:dyDescent="0.25">
      <c r="A444" s="30" t="s">
        <v>62</v>
      </c>
      <c r="B444" s="30"/>
      <c r="C444" s="34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</row>
    <row r="447" spans="1:21" x14ac:dyDescent="0.25">
      <c r="H447" s="83"/>
    </row>
  </sheetData>
  <sheetProtection algorithmName="SHA-512" hashValue="lHquCfdv1QzpkSTskSQez3G7YrlqBTuPKXk2d0k5gajZTUGVhs5XKOo9E01k9uV6x/bCcdspiOpSySrr522ROA==" saltValue="OBbg5BfVQ5wLCN1CXpe9IA==" spinCount="100000" sheet="1" objects="1" scenarios="1"/>
  <mergeCells count="232">
    <mergeCell ref="C368:F368"/>
    <mergeCell ref="H337:I337"/>
    <mergeCell ref="H338:I338"/>
    <mergeCell ref="A360:N360"/>
    <mergeCell ref="A361:N361"/>
    <mergeCell ref="H306:I306"/>
    <mergeCell ref="H311:I311"/>
    <mergeCell ref="H309:I309"/>
    <mergeCell ref="H303:I303"/>
    <mergeCell ref="H312:I312"/>
    <mergeCell ref="H307:I307"/>
    <mergeCell ref="H308:I308"/>
    <mergeCell ref="H331:I331"/>
    <mergeCell ref="H336:I336"/>
    <mergeCell ref="H333:I333"/>
    <mergeCell ref="H332:I332"/>
    <mergeCell ref="H335:I335"/>
    <mergeCell ref="H334:I334"/>
    <mergeCell ref="H326:I326"/>
    <mergeCell ref="H330:I330"/>
    <mergeCell ref="H329:I329"/>
    <mergeCell ref="H318:I318"/>
    <mergeCell ref="H327:I327"/>
    <mergeCell ref="H328:I328"/>
    <mergeCell ref="H322:I322"/>
    <mergeCell ref="H323:I323"/>
    <mergeCell ref="H324:I324"/>
    <mergeCell ref="H325:I325"/>
    <mergeCell ref="H321:I321"/>
    <mergeCell ref="H316:I316"/>
    <mergeCell ref="H317:I317"/>
    <mergeCell ref="H319:I319"/>
    <mergeCell ref="H320:I320"/>
    <mergeCell ref="H313:I313"/>
    <mergeCell ref="H315:I315"/>
    <mergeCell ref="H246:I246"/>
    <mergeCell ref="H247:I247"/>
    <mergeCell ref="H248:I248"/>
    <mergeCell ref="H253:I253"/>
    <mergeCell ref="H249:I249"/>
    <mergeCell ref="H250:I250"/>
    <mergeCell ref="H252:I252"/>
    <mergeCell ref="H254:I254"/>
    <mergeCell ref="H297:I297"/>
    <mergeCell ref="H298:I298"/>
    <mergeCell ref="H299:I299"/>
    <mergeCell ref="H300:I300"/>
    <mergeCell ref="H301:I301"/>
    <mergeCell ref="H302:I302"/>
    <mergeCell ref="H314:I314"/>
    <mergeCell ref="H310:I310"/>
    <mergeCell ref="H304:I304"/>
    <mergeCell ref="H305:I305"/>
    <mergeCell ref="H187:I187"/>
    <mergeCell ref="F219:L219"/>
    <mergeCell ref="F220:L220"/>
    <mergeCell ref="H193:I193"/>
    <mergeCell ref="H194:I194"/>
    <mergeCell ref="H188:I188"/>
    <mergeCell ref="H235:I235"/>
    <mergeCell ref="H236:I236"/>
    <mergeCell ref="H237:I237"/>
    <mergeCell ref="C296:F296"/>
    <mergeCell ref="H296:I296"/>
    <mergeCell ref="H264:I264"/>
    <mergeCell ref="H251:I251"/>
    <mergeCell ref="H263:I263"/>
    <mergeCell ref="H257:I257"/>
    <mergeCell ref="H256:I256"/>
    <mergeCell ref="H258:I258"/>
    <mergeCell ref="H255:I255"/>
    <mergeCell ref="H261:I261"/>
    <mergeCell ref="H262:I262"/>
    <mergeCell ref="H259:I259"/>
    <mergeCell ref="H260:I260"/>
    <mergeCell ref="A288:N288"/>
    <mergeCell ref="A289:N289"/>
    <mergeCell ref="H265:I265"/>
    <mergeCell ref="H266:I266"/>
    <mergeCell ref="F292:K292"/>
    <mergeCell ref="F293:K293"/>
    <mergeCell ref="F294:K294"/>
    <mergeCell ref="H245:I245"/>
    <mergeCell ref="H191:I191"/>
    <mergeCell ref="H192:I192"/>
    <mergeCell ref="A216:N216"/>
    <mergeCell ref="C224:F224"/>
    <mergeCell ref="H224:I224"/>
    <mergeCell ref="H233:I233"/>
    <mergeCell ref="H234:I234"/>
    <mergeCell ref="H225:I225"/>
    <mergeCell ref="H226:I226"/>
    <mergeCell ref="H227:I227"/>
    <mergeCell ref="H228:I228"/>
    <mergeCell ref="H230:I230"/>
    <mergeCell ref="H231:I231"/>
    <mergeCell ref="H232:I232"/>
    <mergeCell ref="H238:I238"/>
    <mergeCell ref="H243:I243"/>
    <mergeCell ref="H244:I244"/>
    <mergeCell ref="H239:I239"/>
    <mergeCell ref="H240:I240"/>
    <mergeCell ref="H241:I241"/>
    <mergeCell ref="H242:I242"/>
    <mergeCell ref="H169:I169"/>
    <mergeCell ref="H178:I178"/>
    <mergeCell ref="H179:I179"/>
    <mergeCell ref="H177:I177"/>
    <mergeCell ref="H171:I171"/>
    <mergeCell ref="H172:I172"/>
    <mergeCell ref="H173:I173"/>
    <mergeCell ref="H189:I189"/>
    <mergeCell ref="H229:I229"/>
    <mergeCell ref="A217:N217"/>
    <mergeCell ref="H170:I170"/>
    <mergeCell ref="F221:L221"/>
    <mergeCell ref="H186:I186"/>
    <mergeCell ref="H181:I181"/>
    <mergeCell ref="H180:I180"/>
    <mergeCell ref="H174:I174"/>
    <mergeCell ref="H175:I175"/>
    <mergeCell ref="H176:I176"/>
    <mergeCell ref="F222:L222"/>
    <mergeCell ref="H182:I182"/>
    <mergeCell ref="H183:I183"/>
    <mergeCell ref="H184:I184"/>
    <mergeCell ref="H185:I185"/>
    <mergeCell ref="H190:I190"/>
    <mergeCell ref="H165:I165"/>
    <mergeCell ref="H166:I166"/>
    <mergeCell ref="H167:I167"/>
    <mergeCell ref="H168:I168"/>
    <mergeCell ref="H161:I161"/>
    <mergeCell ref="H162:I162"/>
    <mergeCell ref="H163:I163"/>
    <mergeCell ref="H164:I164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07:I107"/>
    <mergeCell ref="H108:I108"/>
    <mergeCell ref="C152:F152"/>
    <mergeCell ref="H152:I152"/>
    <mergeCell ref="H110:I110"/>
    <mergeCell ref="H111:I111"/>
    <mergeCell ref="H112:I112"/>
    <mergeCell ref="H113:I113"/>
    <mergeCell ref="H114:I114"/>
    <mergeCell ref="H115:I115"/>
    <mergeCell ref="H121:I121"/>
    <mergeCell ref="H122:I122"/>
    <mergeCell ref="H109:I109"/>
    <mergeCell ref="A145:N145"/>
    <mergeCell ref="H116:I116"/>
    <mergeCell ref="H118:I118"/>
    <mergeCell ref="H119:I119"/>
    <mergeCell ref="H120:I120"/>
    <mergeCell ref="A144:N144"/>
    <mergeCell ref="H117:I117"/>
    <mergeCell ref="H105:I105"/>
    <mergeCell ref="H82:I82"/>
    <mergeCell ref="H83:I83"/>
    <mergeCell ref="H93:I93"/>
    <mergeCell ref="H94:I94"/>
    <mergeCell ref="H87:I87"/>
    <mergeCell ref="H88:I88"/>
    <mergeCell ref="H89:I89"/>
    <mergeCell ref="H85:I85"/>
    <mergeCell ref="H92:I92"/>
    <mergeCell ref="H86:I86"/>
    <mergeCell ref="A73:N73"/>
    <mergeCell ref="C80:F80"/>
    <mergeCell ref="H80:I80"/>
    <mergeCell ref="H100:I100"/>
    <mergeCell ref="H91:I91"/>
    <mergeCell ref="H81:I81"/>
    <mergeCell ref="H84:I84"/>
    <mergeCell ref="D8:K8"/>
    <mergeCell ref="A72:N72"/>
    <mergeCell ref="A20:B20"/>
    <mergeCell ref="A21:B21"/>
    <mergeCell ref="F15:J15"/>
    <mergeCell ref="N10:O10"/>
    <mergeCell ref="G10:J10"/>
    <mergeCell ref="N8:O8"/>
    <mergeCell ref="N11:O11"/>
    <mergeCell ref="N9:O9"/>
    <mergeCell ref="N13:O14"/>
    <mergeCell ref="G16:J16"/>
    <mergeCell ref="G17:J17"/>
    <mergeCell ref="G11:J11"/>
    <mergeCell ref="G12:J12"/>
    <mergeCell ref="F14:J14"/>
    <mergeCell ref="O15:O18"/>
    <mergeCell ref="N7:O7"/>
    <mergeCell ref="N6:O6"/>
    <mergeCell ref="D7:K7"/>
    <mergeCell ref="D6:K6"/>
    <mergeCell ref="A1:O1"/>
    <mergeCell ref="A2:O2"/>
    <mergeCell ref="N4:O4"/>
    <mergeCell ref="D5:K5"/>
    <mergeCell ref="N5:O5"/>
    <mergeCell ref="F363:K363"/>
    <mergeCell ref="F364:K364"/>
    <mergeCell ref="F365:K365"/>
    <mergeCell ref="F366:K366"/>
    <mergeCell ref="F75:K75"/>
    <mergeCell ref="F76:K76"/>
    <mergeCell ref="F77:K77"/>
    <mergeCell ref="F78:K78"/>
    <mergeCell ref="F147:K147"/>
    <mergeCell ref="F148:K148"/>
    <mergeCell ref="F149:K149"/>
    <mergeCell ref="F150:K150"/>
    <mergeCell ref="F291:K291"/>
    <mergeCell ref="H95:I95"/>
    <mergeCell ref="H90:I90"/>
    <mergeCell ref="H98:I98"/>
    <mergeCell ref="H99:I99"/>
    <mergeCell ref="H106:I106"/>
    <mergeCell ref="H96:I96"/>
    <mergeCell ref="H97:I97"/>
    <mergeCell ref="H101:I101"/>
    <mergeCell ref="H102:I102"/>
    <mergeCell ref="H103:I103"/>
    <mergeCell ref="H104:I104"/>
  </mergeCells>
  <phoneticPr fontId="0" type="noConversion"/>
  <pageMargins left="0.5" right="0.25" top="1" bottom="1" header="0.5" footer="0.5"/>
  <pageSetup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tabColor indexed="46"/>
  </sheetPr>
  <dimension ref="A1:Y85"/>
  <sheetViews>
    <sheetView topLeftCell="A10" zoomScale="90" zoomScaleNormal="90" zoomScaleSheetLayoutView="90" workbookViewId="0">
      <pane ySplit="1" topLeftCell="A11" activePane="bottomLeft" state="frozen"/>
      <selection activeCell="L20" sqref="L20"/>
      <selection pane="bottomLeft" activeCell="D23" sqref="D23"/>
    </sheetView>
  </sheetViews>
  <sheetFormatPr defaultColWidth="9.1796875" defaultRowHeight="12.5" x14ac:dyDescent="0.25"/>
  <cols>
    <col min="1" max="1" width="4.7265625" style="755" customWidth="1"/>
    <col min="2" max="2" width="7.54296875" style="755" customWidth="1"/>
    <col min="3" max="3" width="19.1796875" style="755" customWidth="1"/>
    <col min="4" max="8" width="11" style="755" customWidth="1"/>
    <col min="9" max="9" width="11.1796875" style="755" customWidth="1"/>
    <col min="10" max="11" width="11" style="755" customWidth="1"/>
    <col min="12" max="12" width="11.1796875" style="755" customWidth="1"/>
    <col min="13" max="13" width="11" style="755" customWidth="1"/>
    <col min="14" max="24" width="12.54296875" style="755" customWidth="1"/>
    <col min="25" max="16384" width="9.1796875" style="755"/>
  </cols>
  <sheetData>
    <row r="1" spans="1:25" ht="13" x14ac:dyDescent="0.3">
      <c r="C1" s="790"/>
      <c r="D1" s="790"/>
      <c r="E1" s="790"/>
      <c r="F1" s="790"/>
      <c r="G1" s="790"/>
      <c r="H1" s="791" t="s">
        <v>0</v>
      </c>
      <c r="I1" s="790"/>
    </row>
    <row r="2" spans="1:25" ht="13" x14ac:dyDescent="0.3">
      <c r="A2" s="755" t="str">
        <f>+'[1]Salary Detail'!A3</f>
        <v>Revised 5/13/2016</v>
      </c>
      <c r="C2" s="790"/>
      <c r="D2" s="790"/>
      <c r="E2" s="790"/>
      <c r="F2" s="790"/>
      <c r="G2" s="790"/>
      <c r="H2" s="791" t="s">
        <v>194</v>
      </c>
      <c r="I2" s="790"/>
    </row>
    <row r="3" spans="1:25" ht="13" x14ac:dyDescent="0.3">
      <c r="A3" s="789"/>
      <c r="B3" s="789"/>
      <c r="C3" s="788"/>
      <c r="D3" s="788"/>
      <c r="E3" s="788"/>
      <c r="F3" s="788"/>
      <c r="G3" s="788"/>
      <c r="H3" s="788"/>
      <c r="I3" s="788"/>
      <c r="J3" s="758"/>
      <c r="K3" s="758"/>
      <c r="L3" s="758"/>
      <c r="M3" s="758"/>
      <c r="N3" s="758"/>
    </row>
    <row r="4" spans="1:25" ht="16.75" customHeight="1" x14ac:dyDescent="0.25">
      <c r="A4" s="758"/>
      <c r="B4" s="758"/>
      <c r="C4" s="758"/>
      <c r="D4" s="757" t="s">
        <v>6</v>
      </c>
      <c r="E4" s="787">
        <f>'[1]Salary Detail'!E5</f>
        <v>0</v>
      </c>
      <c r="F4" s="786"/>
      <c r="G4" s="777"/>
      <c r="H4" s="777"/>
      <c r="I4" s="758"/>
      <c r="J4" s="758"/>
      <c r="K4" s="758"/>
      <c r="L4" s="758"/>
      <c r="M4" s="758"/>
      <c r="N4" s="758"/>
    </row>
    <row r="5" spans="1:25" ht="16.75" customHeight="1" x14ac:dyDescent="0.25">
      <c r="A5" s="758"/>
      <c r="B5" s="758"/>
      <c r="C5" s="758"/>
      <c r="D5" s="757" t="s">
        <v>8</v>
      </c>
      <c r="E5" s="784">
        <f>'[1]Salary Detail'!E6</f>
        <v>0</v>
      </c>
      <c r="F5" s="783"/>
      <c r="G5" s="782"/>
      <c r="H5" s="782"/>
      <c r="I5" s="758"/>
      <c r="J5" s="758"/>
      <c r="K5" s="758"/>
      <c r="L5" s="758"/>
      <c r="M5" s="758"/>
      <c r="N5" s="758"/>
    </row>
    <row r="6" spans="1:25" ht="16.75" customHeight="1" x14ac:dyDescent="0.25">
      <c r="D6" s="785" t="s">
        <v>122</v>
      </c>
      <c r="E6" s="784">
        <f>'[1]Salary Detail'!E7</f>
        <v>0</v>
      </c>
      <c r="F6" s="783"/>
      <c r="G6" s="783"/>
      <c r="H6" s="782"/>
      <c r="I6" s="758"/>
      <c r="J6" s="758"/>
      <c r="K6" s="758"/>
      <c r="L6" s="758"/>
      <c r="M6" s="758"/>
      <c r="N6" s="758"/>
    </row>
    <row r="7" spans="1:25" ht="16.75" customHeight="1" x14ac:dyDescent="0.25">
      <c r="A7" s="758"/>
      <c r="B7" s="758"/>
      <c r="C7" s="758"/>
      <c r="D7" s="757" t="s">
        <v>10</v>
      </c>
      <c r="E7" s="784">
        <f>'[1]Salary Detail'!E8</f>
        <v>0</v>
      </c>
      <c r="F7" s="783"/>
      <c r="G7" s="782"/>
      <c r="H7" s="782"/>
      <c r="I7" s="758"/>
      <c r="J7" s="758"/>
      <c r="K7" s="758"/>
      <c r="L7" s="758"/>
      <c r="M7" s="758"/>
      <c r="N7" s="758"/>
    </row>
    <row r="8" spans="1:25" ht="16.75" customHeight="1" x14ac:dyDescent="0.25">
      <c r="A8" s="758"/>
      <c r="B8" s="758"/>
      <c r="C8" s="758"/>
      <c r="D8" s="757" t="s">
        <v>182</v>
      </c>
      <c r="E8" s="781">
        <f>ROUNDUP(totalyrs,0)</f>
        <v>6</v>
      </c>
      <c r="G8" s="758"/>
      <c r="H8" s="758"/>
      <c r="I8" s="758"/>
      <c r="J8" s="758"/>
      <c r="K8" s="758"/>
      <c r="L8" s="758"/>
      <c r="M8" s="758"/>
      <c r="N8" s="758"/>
    </row>
    <row r="9" spans="1:25" ht="16.75" customHeight="1" x14ac:dyDescent="0.25">
      <c r="A9" s="758"/>
      <c r="B9" s="758"/>
      <c r="C9" s="758"/>
      <c r="D9" s="757" t="s">
        <v>139</v>
      </c>
      <c r="E9" s="780">
        <f>'[1]Budget Summary'!M37</f>
        <v>25000</v>
      </c>
      <c r="F9" s="758" t="s">
        <v>195</v>
      </c>
      <c r="H9" s="758"/>
      <c r="I9" s="758"/>
      <c r="J9" s="758"/>
      <c r="K9" s="758"/>
      <c r="L9" s="758"/>
      <c r="M9" s="758"/>
      <c r="N9" s="758"/>
    </row>
    <row r="10" spans="1:25" x14ac:dyDescent="0.25">
      <c r="A10" s="758"/>
      <c r="B10" s="758"/>
      <c r="C10" s="758"/>
      <c r="D10" s="758"/>
      <c r="E10" s="758"/>
      <c r="F10" s="758"/>
      <c r="G10" s="758"/>
      <c r="H10" s="758"/>
      <c r="I10" s="758"/>
      <c r="J10" s="758"/>
      <c r="L10" s="778"/>
      <c r="M10" s="778"/>
      <c r="N10" s="778"/>
      <c r="O10" s="778"/>
      <c r="P10" s="946" t="s">
        <v>98</v>
      </c>
      <c r="Q10" s="946"/>
      <c r="R10" s="946"/>
      <c r="S10" s="946"/>
      <c r="T10" s="946"/>
      <c r="U10" s="946"/>
      <c r="V10" s="946"/>
      <c r="W10" s="946"/>
      <c r="X10" s="946"/>
    </row>
    <row r="11" spans="1:25" x14ac:dyDescent="0.25">
      <c r="A11" s="758"/>
      <c r="B11" s="758"/>
      <c r="C11" s="758"/>
      <c r="D11" s="758"/>
      <c r="E11" s="758"/>
      <c r="F11" s="758"/>
      <c r="G11" s="758"/>
      <c r="H11" s="758"/>
      <c r="I11" s="758"/>
      <c r="J11" s="758"/>
      <c r="K11" s="779"/>
      <c r="L11" s="758"/>
      <c r="M11" s="758"/>
      <c r="N11" s="758"/>
      <c r="O11" s="792"/>
      <c r="P11" s="792"/>
      <c r="Q11" s="792"/>
      <c r="R11" s="792"/>
      <c r="S11" s="792"/>
      <c r="T11" s="792"/>
      <c r="U11" s="792"/>
      <c r="V11" s="792"/>
      <c r="W11" s="792"/>
      <c r="X11" s="792"/>
      <c r="Y11" s="769"/>
    </row>
    <row r="12" spans="1:25" x14ac:dyDescent="0.25">
      <c r="A12" s="758"/>
      <c r="B12" s="758"/>
      <c r="C12" s="758"/>
      <c r="D12" s="758"/>
      <c r="E12" s="758"/>
      <c r="F12" s="758"/>
      <c r="G12" s="758"/>
      <c r="H12" s="758"/>
      <c r="I12" s="758"/>
      <c r="J12" s="758"/>
      <c r="L12" s="778"/>
      <c r="M12" s="778"/>
      <c r="N12" s="778"/>
      <c r="O12" s="795"/>
      <c r="P12" s="947" t="s">
        <v>99</v>
      </c>
      <c r="Q12" s="947"/>
      <c r="R12" s="947"/>
      <c r="S12" s="947"/>
      <c r="T12" s="947"/>
      <c r="U12" s="947"/>
      <c r="V12" s="947"/>
      <c r="W12" s="947"/>
      <c r="X12" s="947"/>
      <c r="Y12" s="769"/>
    </row>
    <row r="13" spans="1:25" ht="13" x14ac:dyDescent="0.3">
      <c r="A13" s="758"/>
      <c r="B13" s="758"/>
      <c r="C13" s="758"/>
      <c r="D13" s="944" t="s">
        <v>197</v>
      </c>
      <c r="E13" s="945"/>
      <c r="F13" s="945"/>
      <c r="G13" s="945"/>
      <c r="H13" s="945"/>
      <c r="I13" s="945"/>
      <c r="J13" s="945"/>
      <c r="K13" s="945"/>
      <c r="L13" s="945"/>
      <c r="M13" s="945"/>
      <c r="N13" s="758"/>
      <c r="O13" s="769"/>
      <c r="P13" s="769"/>
      <c r="Q13" s="769"/>
      <c r="R13" s="769"/>
      <c r="S13" s="769"/>
      <c r="T13" s="769"/>
      <c r="U13" s="769"/>
      <c r="V13" s="769"/>
      <c r="W13" s="769"/>
      <c r="X13" s="769"/>
      <c r="Y13" s="769"/>
    </row>
    <row r="14" spans="1:25" ht="13" x14ac:dyDescent="0.3">
      <c r="A14" s="777"/>
      <c r="B14" s="777"/>
      <c r="C14" s="776" t="s">
        <v>196</v>
      </c>
      <c r="D14" s="775">
        <v>1</v>
      </c>
      <c r="E14" s="775">
        <v>2</v>
      </c>
      <c r="F14" s="775">
        <v>3</v>
      </c>
      <c r="G14" s="775">
        <v>4</v>
      </c>
      <c r="H14" s="775">
        <v>5</v>
      </c>
      <c r="I14" s="775">
        <v>6</v>
      </c>
      <c r="J14" s="775">
        <v>7</v>
      </c>
      <c r="K14" s="775">
        <v>8</v>
      </c>
      <c r="L14" s="775">
        <v>9</v>
      </c>
      <c r="M14" s="775">
        <v>10</v>
      </c>
      <c r="N14" s="775" t="s">
        <v>46</v>
      </c>
      <c r="O14" s="796" t="s">
        <v>193</v>
      </c>
      <c r="P14" s="797" t="s">
        <v>94</v>
      </c>
      <c r="Q14" s="797" t="s">
        <v>95</v>
      </c>
      <c r="R14" s="797" t="s">
        <v>96</v>
      </c>
      <c r="S14" s="797" t="s">
        <v>97</v>
      </c>
      <c r="T14" s="797" t="s">
        <v>160</v>
      </c>
      <c r="U14" s="797" t="s">
        <v>161</v>
      </c>
      <c r="V14" s="797" t="s">
        <v>162</v>
      </c>
      <c r="W14" s="797" t="s">
        <v>163</v>
      </c>
      <c r="X14" s="797" t="s">
        <v>164</v>
      </c>
      <c r="Y14" s="769"/>
    </row>
    <row r="15" spans="1:25" ht="15.75" customHeight="1" x14ac:dyDescent="0.25">
      <c r="A15" s="774" t="s">
        <v>56</v>
      </c>
      <c r="B15" s="771"/>
      <c r="C15" s="773" t="s">
        <v>356</v>
      </c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36">
        <f t="shared" ref="N15:N59" si="0">SUM(D15:M15)</f>
        <v>0</v>
      </c>
      <c r="O15" s="798">
        <f>D15+D16+M71</f>
        <v>0</v>
      </c>
      <c r="P15" s="799">
        <f>O15+(E15+E16)</f>
        <v>0</v>
      </c>
      <c r="Q15" s="799">
        <f t="shared" ref="Q15:X15" si="1">(F15+F16)+P15</f>
        <v>0</v>
      </c>
      <c r="R15" s="799">
        <f t="shared" si="1"/>
        <v>0</v>
      </c>
      <c r="S15" s="799">
        <f t="shared" si="1"/>
        <v>0</v>
      </c>
      <c r="T15" s="799">
        <f t="shared" si="1"/>
        <v>0</v>
      </c>
      <c r="U15" s="799">
        <f t="shared" si="1"/>
        <v>0</v>
      </c>
      <c r="V15" s="799">
        <f t="shared" si="1"/>
        <v>0</v>
      </c>
      <c r="W15" s="799">
        <f t="shared" si="1"/>
        <v>0</v>
      </c>
      <c r="X15" s="799">
        <f t="shared" si="1"/>
        <v>0</v>
      </c>
      <c r="Y15" s="769"/>
    </row>
    <row r="16" spans="1:25" ht="15.75" customHeight="1" x14ac:dyDescent="0.25">
      <c r="A16" s="772" t="s">
        <v>28</v>
      </c>
      <c r="B16" s="794"/>
      <c r="C16" s="770" t="s">
        <v>357</v>
      </c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37">
        <f t="shared" si="0"/>
        <v>0</v>
      </c>
      <c r="O16" s="798"/>
      <c r="P16" s="799"/>
      <c r="Q16" s="799"/>
      <c r="R16" s="799"/>
      <c r="S16" s="799"/>
      <c r="T16" s="799"/>
      <c r="U16" s="799"/>
      <c r="V16" s="799"/>
      <c r="W16" s="799"/>
      <c r="X16" s="799"/>
      <c r="Y16" s="769"/>
    </row>
    <row r="17" spans="1:25" ht="15.75" customHeight="1" x14ac:dyDescent="0.25">
      <c r="A17" s="768"/>
      <c r="B17" s="767"/>
      <c r="C17" s="766" t="s">
        <v>192</v>
      </c>
      <c r="D17" s="32">
        <f>(MIN(0,IF(SUBLIMIT-((D15+D16)+M71)&lt;((D15+D16)-2*(D15+D16)),((D15+D16)-2*(D15+D16)),(SUBLIMIT-((D15+D16)+M71)))))</f>
        <v>0</v>
      </c>
      <c r="E17" s="32">
        <f>IF(AND($E$8&gt;1,(E15+E16)&gt;0),IF(A_TWOSUM&lt;SUBLIMIT,0,IF(AND(A_TWOSUM&gt;SUBLIMIT,(D15+D16)&gt;SUBLIMIT),-(E15+E16),SUBLIMIT-A_TWOSUM-D17)),0)</f>
        <v>0</v>
      </c>
      <c r="F17" s="32">
        <f>IF(AND($E$8&gt;1,(F15+F16)&gt;0),IF(A_THREESUM&lt;SUBLIMIT,0,IF(AND(A_THREESUM&gt;SUBLIMIT,A_TWOSUM&gt;SUBLIMIT),-(F15+F16),SUBLIMIT-A_THREESUM)),0)</f>
        <v>0</v>
      </c>
      <c r="G17" s="32">
        <f>IF(AND($E$8&gt;1,(G15+G16)&gt;0),IF(A_FOURSUM&lt;SUBLIMIT,0,IF(AND(A_FOURSUM&gt;SUBLIMIT,A_THREESUM&gt;SUBLIMIT),-(G15+G16),SUBLIMIT-A_FOURSUM)),0)</f>
        <v>0</v>
      </c>
      <c r="H17" s="32">
        <f>IF(AND($E$8&gt;1,(H15+H16)&gt;0),IF(A_FIVESUM&lt;SUBLIMIT,0,IF(AND(A_FIVESUM&gt;SUBLIMIT,A_FOURSUM&gt;SUBLIMIT),-(H15+H16),SUBLIMIT-A_FIVESUM)),0)</f>
        <v>0</v>
      </c>
      <c r="I17" s="32">
        <f>IF(AND($E$8&gt;1,(I15+I16)&gt;0),IF(A_SIXSUM&lt;SUBLIMIT,0,IF(AND(A_SIXSUM&gt;SUBLIMIT,A_FIVESUM&gt;SUBLIMIT),-(I15+I16),SUBLIMIT-A_SIXSUM)),0)</f>
        <v>0</v>
      </c>
      <c r="J17" s="32">
        <f>IF(AND($E$8&gt;1,(J15+J16)&gt;0),IF(A_SEVENSUM&lt;SUBLIMIT,0,IF(AND(A_SEVENSUM&gt;SUBLIMIT,A_SIXSUM&gt;SUBLIMIT),-(J15+J16),SUBLIMIT-A_SEVENSUM)),0)</f>
        <v>0</v>
      </c>
      <c r="K17" s="32">
        <f>IF(AND($E$8&gt;1,(K15+K16)&gt;0),IF(A_EIGHTSUM&lt;SUBLIMIT,0,IF(AND(A_EIGHTSUM&gt;SUBLIMIT,A_SEVENSUM&gt;SUBLIMIT),-(K15+K16),SUBLIMIT-A_EIGHTSUM)),0)</f>
        <v>0</v>
      </c>
      <c r="L17" s="32">
        <f>IF(AND($E$8&gt;1,(L15+L16)&gt;0),IF(A_NINESUM&lt;SUBLIMIT,0,IF(AND(A_NINESUM&gt;SUBLIMIT,A_EIGHTSUM&gt;SUBLIMIT),-(L15+L16),SUBLIMIT-A_NINESUM)),0)</f>
        <v>0</v>
      </c>
      <c r="M17" s="32">
        <f>IF(AND($E$8&gt;1,(M15+M16)&gt;0),IF(A_TENSUM&lt;SUBLIMIT,0,IF(AND(A_TENSUM&gt;SUBLIMIT,A_NINESUM&gt;SUBLIMIT),-(M15+M16),SUBLIMIT-A_TENSUM)),0)</f>
        <v>0</v>
      </c>
      <c r="N17" s="37">
        <f t="shared" si="0"/>
        <v>0</v>
      </c>
      <c r="O17" s="800"/>
      <c r="P17" s="800"/>
      <c r="Q17" s="800"/>
      <c r="R17" s="800"/>
      <c r="S17" s="800"/>
      <c r="T17" s="769"/>
      <c r="U17" s="769"/>
      <c r="V17" s="769"/>
      <c r="W17" s="769"/>
      <c r="X17" s="769"/>
      <c r="Y17" s="769"/>
    </row>
    <row r="18" spans="1:25" ht="15.75" customHeight="1" x14ac:dyDescent="0.25">
      <c r="A18" s="774" t="s">
        <v>100</v>
      </c>
      <c r="B18" s="771"/>
      <c r="C18" s="773" t="s">
        <v>356</v>
      </c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36">
        <f t="shared" si="0"/>
        <v>0</v>
      </c>
      <c r="O18" s="800">
        <f>(D18+D19)+M72</f>
        <v>0</v>
      </c>
      <c r="P18" s="800">
        <f>O18+(E18+E19)</f>
        <v>0</v>
      </c>
      <c r="Q18" s="800">
        <f t="shared" ref="Q18:X18" si="2">(F18+F19)+P18</f>
        <v>0</v>
      </c>
      <c r="R18" s="800">
        <f t="shared" si="2"/>
        <v>0</v>
      </c>
      <c r="S18" s="800">
        <f t="shared" si="2"/>
        <v>0</v>
      </c>
      <c r="T18" s="800">
        <f t="shared" si="2"/>
        <v>0</v>
      </c>
      <c r="U18" s="800">
        <f t="shared" si="2"/>
        <v>0</v>
      </c>
      <c r="V18" s="800">
        <f t="shared" si="2"/>
        <v>0</v>
      </c>
      <c r="W18" s="800">
        <f t="shared" si="2"/>
        <v>0</v>
      </c>
      <c r="X18" s="800">
        <f t="shared" si="2"/>
        <v>0</v>
      </c>
      <c r="Y18" s="769"/>
    </row>
    <row r="19" spans="1:25" ht="15.75" customHeight="1" x14ac:dyDescent="0.25">
      <c r="A19" s="772" t="s">
        <v>28</v>
      </c>
      <c r="B19" s="794"/>
      <c r="C19" s="770" t="s">
        <v>357</v>
      </c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37">
        <f t="shared" si="0"/>
        <v>0</v>
      </c>
      <c r="O19" s="800"/>
      <c r="P19" s="800"/>
      <c r="Q19" s="800"/>
      <c r="R19" s="800"/>
      <c r="S19" s="800"/>
      <c r="T19" s="800"/>
      <c r="U19" s="800"/>
      <c r="V19" s="800"/>
      <c r="W19" s="800"/>
      <c r="X19" s="800"/>
      <c r="Y19" s="769"/>
    </row>
    <row r="20" spans="1:25" ht="15.75" customHeight="1" x14ac:dyDescent="0.25">
      <c r="A20" s="768"/>
      <c r="B20" s="767"/>
      <c r="C20" s="766" t="str">
        <f>+C17</f>
        <v>Adjustments to F&amp;A calculation:</v>
      </c>
      <c r="D20" s="32">
        <f>(MIN(0,IF(SUBLIMIT-((D18+D19)+M72)&lt;((D18+D19)-2*(D18+D19)),((D18+D19)-2*(D18+D19)),(SUBLIMIT-((D18+D19)+M72)))))</f>
        <v>0</v>
      </c>
      <c r="E20" s="32">
        <f>IF(AND($E$8&gt;1,(E18+E19)&gt;0),IF(B_TWOSUM&lt;SUBLIMIT,0,IF(AND(B_TWOSUM&gt;SUBLIMIT,(D18+D19)&gt;SUBLIMIT),-(E18+E19),SUBLIMIT-B_TWOSUM-D20)),0)</f>
        <v>0</v>
      </c>
      <c r="F20" s="32">
        <f>IF(AND($E$8&gt;2,(F18+F19)&gt;0),IF(B_THREESUM&lt;SUBLIMIT,0,IF(AND(B_THREESUM&gt;SUBLIMIT,B_TWOSUM&gt;SUBLIMIT),-(F18+F19),SUBLIMIT-B_THREESUM)),0)</f>
        <v>0</v>
      </c>
      <c r="G20" s="32">
        <f>IF(AND($E$8&gt;3,(G18+G19)&gt;0),IF(B_FOURSUM&lt;SUBLIMIT,0,IF(AND(B_FOURSUM&gt;SUBLIMIT,B_THREESUM&gt;SUBLIMIT),-(G18+G19),SUBLIMIT-B_FOURSUM)),0)</f>
        <v>0</v>
      </c>
      <c r="H20" s="32">
        <f>IF(AND($E$8&gt;4,(H18+H19)&gt;0),IF(B_FIVESUM&lt;SUBLIMIT,0,IF(AND(B_FIVESUM&gt;SUBLIMIT,B_FOURSUM&gt;SUBLIMIT),-(H18+H19),SUBLIMIT-B_FIVESUM)),0)</f>
        <v>0</v>
      </c>
      <c r="I20" s="32">
        <f>IF(AND($E$8&gt;5,(I18+I19)&gt;0),IF(B_SIXSUM&lt;SUBLIMIT,0,IF(AND(B_SIXSUM&gt;SUBLIMIT,B_FIVESUM&gt;SUBLIMIT),-(I18+I19),SUBLIMIT-B_SIXSUM)),0)</f>
        <v>0</v>
      </c>
      <c r="J20" s="32">
        <f>IF(AND($E$8&gt;1,(J18+J19)&gt;0),IF(B_SEVENSUM&lt;SUBLIMIT,0,IF(AND(B_SEVENSUM&gt;SUBLIMIT,B_SIXSUM&gt;SUBLIMIT),-(J18+J19),SUBLIMIT-B_SEVENSUM)),0)</f>
        <v>0</v>
      </c>
      <c r="K20" s="32">
        <f>IF(AND($E$8&gt;1,(K18+K19)&gt;0),IF(B_EIGHTSUM&lt;SUBLIMIT,0,IF(AND(B_EIGHTSUM&gt;SUBLIMIT,B_SEVENSUM&gt;SUBLIMIT),-(K18+K19),SUBLIMIT-B_EIGHTSUM)),0)</f>
        <v>0</v>
      </c>
      <c r="L20" s="32">
        <f>IF(AND($E$8&gt;1,(L18+L19)&gt;0),IF(B_NINESUM&lt;SUBLIMIT,0,IF(AND(B_NINESUM&gt;SUBLIMIT,B_EIGHTSUM&gt;SUBLIMIT),-(L18+L19),SUBLIMIT-B_NINESUM)),0)</f>
        <v>0</v>
      </c>
      <c r="M20" s="32">
        <f>IF(AND($E$8&gt;1,(M18+M19)&gt;0),IF(B_TENSUM&lt;SUBLIMIT,0,IF(AND(B_TENSUM&gt;SUBLIMIT,B_NINESUM&gt;SUBLIMIT),-(M18+M19),SUBLIMIT-B_TENSUM)),0)</f>
        <v>0</v>
      </c>
      <c r="N20" s="37">
        <f t="shared" si="0"/>
        <v>0</v>
      </c>
      <c r="O20" s="800"/>
      <c r="P20" s="800"/>
      <c r="Q20" s="800"/>
      <c r="R20" s="800"/>
      <c r="S20" s="800"/>
      <c r="T20" s="769"/>
      <c r="U20" s="769"/>
      <c r="V20" s="769"/>
      <c r="W20" s="769"/>
      <c r="X20" s="769"/>
      <c r="Y20" s="769"/>
    </row>
    <row r="21" spans="1:25" ht="15.75" customHeight="1" x14ac:dyDescent="0.25">
      <c r="A21" s="774" t="s">
        <v>101</v>
      </c>
      <c r="B21" s="771"/>
      <c r="C21" s="773" t="s">
        <v>356</v>
      </c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36">
        <f t="shared" si="0"/>
        <v>0</v>
      </c>
      <c r="O21" s="800">
        <f>D21+D22+M73</f>
        <v>0</v>
      </c>
      <c r="P21" s="800">
        <f>O21+(E21+E22)</f>
        <v>0</v>
      </c>
      <c r="Q21" s="800">
        <f t="shared" ref="Q21:X21" si="3">(F21+F22)+P21</f>
        <v>0</v>
      </c>
      <c r="R21" s="800">
        <f t="shared" si="3"/>
        <v>0</v>
      </c>
      <c r="S21" s="800">
        <f t="shared" si="3"/>
        <v>0</v>
      </c>
      <c r="T21" s="800">
        <f t="shared" si="3"/>
        <v>0</v>
      </c>
      <c r="U21" s="800">
        <f t="shared" si="3"/>
        <v>0</v>
      </c>
      <c r="V21" s="800">
        <f t="shared" si="3"/>
        <v>0</v>
      </c>
      <c r="W21" s="800">
        <f t="shared" si="3"/>
        <v>0</v>
      </c>
      <c r="X21" s="800">
        <f t="shared" si="3"/>
        <v>0</v>
      </c>
      <c r="Y21" s="769"/>
    </row>
    <row r="22" spans="1:25" ht="15.75" customHeight="1" x14ac:dyDescent="0.25">
      <c r="A22" s="772" t="s">
        <v>28</v>
      </c>
      <c r="B22" s="794"/>
      <c r="C22" s="770" t="s">
        <v>357</v>
      </c>
      <c r="D22" s="517"/>
      <c r="E22" s="517"/>
      <c r="F22" s="517"/>
      <c r="G22" s="517"/>
      <c r="H22" s="517"/>
      <c r="I22" s="517"/>
      <c r="J22" s="517"/>
      <c r="K22" s="517"/>
      <c r="L22" s="517"/>
      <c r="M22" s="517"/>
      <c r="N22" s="37">
        <f t="shared" si="0"/>
        <v>0</v>
      </c>
      <c r="O22" s="800"/>
      <c r="P22" s="800"/>
      <c r="Q22" s="800"/>
      <c r="R22" s="800"/>
      <c r="S22" s="800"/>
      <c r="T22" s="800"/>
      <c r="U22" s="800"/>
      <c r="V22" s="800"/>
      <c r="W22" s="800"/>
      <c r="X22" s="800"/>
      <c r="Y22" s="769"/>
    </row>
    <row r="23" spans="1:25" ht="15.75" customHeight="1" x14ac:dyDescent="0.25">
      <c r="A23" s="768"/>
      <c r="B23" s="767"/>
      <c r="C23" s="766" t="str">
        <f>+C20</f>
        <v>Adjustments to F&amp;A calculation:</v>
      </c>
      <c r="D23" s="810">
        <f>(MIN(0,IF(SUBLIMIT-((D21+D22)+M73)&lt;((D21+D22)-2*(D21+D22)),((D21+D22)-2*(D21+D22)),(SUBLIMIT-((D21+D22)+M73)))))</f>
        <v>0</v>
      </c>
      <c r="E23" s="32">
        <f>IF(AND($E$8&gt;1,(E21+E22)&gt;0),IF(C_TWOSUM&lt;SUBLIMIT,0,IF(AND(C_TWOSUM&gt;SUBLIMIT,(D21+D22)&gt;SUBLIMIT),-(E21+E22),SUBLIMIT-C_TWOSUM-D23)),0)</f>
        <v>0</v>
      </c>
      <c r="F23" s="32">
        <f>IF(AND($E$8&gt;2,(F21+F22)&gt;0),IF(C_THREESUM&lt;SUBLIMIT,0,IF(AND(C_THREESUM&gt;SUBLIMIT,C_TWOSUM&gt;SUBLIMIT),-(F21+F22),SUBLIMIT-C_THREESUM)),0)</f>
        <v>0</v>
      </c>
      <c r="G23" s="32">
        <f>IF(AND($E$8&gt;3,(G21+G22)&gt;0),IF(C_FOURSUM&lt;SUBLIMIT,0,IF(AND(C_FOURSUM&gt;SUBLIMIT,C_THREESUM&gt;SUBLIMIT),-(G21+G22),SUBLIMIT-C_FOURSUM)),0)</f>
        <v>0</v>
      </c>
      <c r="H23" s="32">
        <f>IF(AND($E$8&gt;4,(H21+H22)&gt;0),IF(C_FIVESUM&lt;SUBLIMIT,0,IF(AND(C_FIVESUM&gt;SUBLIMIT,C_FOURSUM&gt;SUBLIMIT),-(H21+H22),SUBLIMIT-C_FIVESUM)),0)</f>
        <v>0</v>
      </c>
      <c r="I23" s="32">
        <f>IF(AND($E$8&gt;5,(I21+I22)&gt;0),IF(C_SIXSUM&lt;SUBLIMIT,0,IF(AND(C_SIXSUM&gt;SUBLIMIT,C_FIVESUM&gt;SUBLIMIT),-(I21+I22),SUBLIMIT-C_SIXSUM)),0)</f>
        <v>0</v>
      </c>
      <c r="J23" s="32">
        <f>IF(AND($E$8&gt;1,(J21+J22)&gt;0),IF(C_SEVENSUM&lt;SUBLIMIT,0,IF(AND(C_SEVENSUM&gt;SUBLIMIT,C_SIXSUM&gt;SUBLIMIT),-(J21+J22),SUBLIMIT-C_SEVENSUM)),0)</f>
        <v>0</v>
      </c>
      <c r="K23" s="32">
        <f>IF(AND($E$8&gt;1,(K21+K22)&gt;0),IF(C_EIGHTSUM&lt;SUBLIMIT,0,IF(AND(C_EIGHTSUM&gt;SUBLIMIT,C_SEVENSUM&gt;SUBLIMIT),-(K21+K22),SUBLIMIT-C_EIGHTSUM)),0)</f>
        <v>0</v>
      </c>
      <c r="L23" s="32">
        <f>IF(AND($E$8&gt;1,(L21+L22)&gt;0),IF(C_NINESUM&lt;SUBLIMIT,0,IF(AND(C_NINESUM&gt;SUBLIMIT,C_EIGHTSUM&gt;SUBLIMIT),-(L21+L22),SUBLIMIT-C_NINESUM)),0)</f>
        <v>0</v>
      </c>
      <c r="M23" s="32">
        <f>IF(AND($E$8&gt;1,(M21+M22)&gt;0),IF(C_TENSUM&lt;SUBLIMIT,0,IF(AND(C_TENSUM&gt;SUBLIMIT,C_NINESUM&gt;SUBLIMIT),-(M21+M22),SUBLIMIT-C_TENSUM)),0)</f>
        <v>0</v>
      </c>
      <c r="N23" s="37">
        <f t="shared" si="0"/>
        <v>0</v>
      </c>
      <c r="O23" s="800"/>
      <c r="P23" s="800"/>
      <c r="Q23" s="800"/>
      <c r="R23" s="800"/>
      <c r="S23" s="800"/>
      <c r="T23" s="769"/>
      <c r="U23" s="769"/>
      <c r="V23" s="769"/>
      <c r="W23" s="769"/>
      <c r="X23" s="769"/>
      <c r="Y23" s="769"/>
    </row>
    <row r="24" spans="1:25" ht="15.75" customHeight="1" x14ac:dyDescent="0.25">
      <c r="A24" s="774" t="s">
        <v>102</v>
      </c>
      <c r="B24" s="771"/>
      <c r="C24" s="773" t="s">
        <v>356</v>
      </c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36">
        <f t="shared" si="0"/>
        <v>0</v>
      </c>
      <c r="O24" s="800">
        <f>D24+D25+M74</f>
        <v>0</v>
      </c>
      <c r="P24" s="800">
        <f>O24+(E24+E25)</f>
        <v>0</v>
      </c>
      <c r="Q24" s="800">
        <f t="shared" ref="Q24:X24" si="4">(F24+F25)+P24</f>
        <v>0</v>
      </c>
      <c r="R24" s="800">
        <f t="shared" si="4"/>
        <v>0</v>
      </c>
      <c r="S24" s="800">
        <f t="shared" si="4"/>
        <v>0</v>
      </c>
      <c r="T24" s="800">
        <f t="shared" si="4"/>
        <v>0</v>
      </c>
      <c r="U24" s="800">
        <f t="shared" si="4"/>
        <v>0</v>
      </c>
      <c r="V24" s="800">
        <f t="shared" si="4"/>
        <v>0</v>
      </c>
      <c r="W24" s="800">
        <f t="shared" si="4"/>
        <v>0</v>
      </c>
      <c r="X24" s="800">
        <f t="shared" si="4"/>
        <v>0</v>
      </c>
      <c r="Y24" s="769"/>
    </row>
    <row r="25" spans="1:25" ht="15.75" customHeight="1" x14ac:dyDescent="0.25">
      <c r="A25" s="772" t="s">
        <v>28</v>
      </c>
      <c r="B25" s="794"/>
      <c r="C25" s="770" t="s">
        <v>357</v>
      </c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37">
        <f t="shared" si="0"/>
        <v>0</v>
      </c>
      <c r="O25" s="800"/>
      <c r="P25" s="800"/>
      <c r="Q25" s="800"/>
      <c r="R25" s="800"/>
      <c r="S25" s="800"/>
      <c r="T25" s="800"/>
      <c r="U25" s="800"/>
      <c r="V25" s="800"/>
      <c r="W25" s="800"/>
      <c r="X25" s="800"/>
      <c r="Y25" s="769"/>
    </row>
    <row r="26" spans="1:25" ht="15.75" customHeight="1" x14ac:dyDescent="0.25">
      <c r="A26" s="768"/>
      <c r="B26" s="767"/>
      <c r="C26" s="766" t="str">
        <f>+C23</f>
        <v>Adjustments to F&amp;A calculation:</v>
      </c>
      <c r="D26" s="32">
        <f>(MIN(0,IF(SUBLIMIT-((D24+D25)+M74)&lt;((D24+D25)-2*(D24+D25)),((D24+D25)-2*(D24+D25)),(SUBLIMIT-((D24+D25)+M74)))))</f>
        <v>0</v>
      </c>
      <c r="E26" s="32">
        <f>IF(AND($E$8&gt;1,(E24+E25)&gt;0),IF(D_TWOSUM&lt;SUBLIMIT,0,IF(AND(D_TWOSUM&gt;SUBLIMIT,(D24+D25)&gt;SUBLIMIT),-(E24+E25),SUBLIMIT-D_TWOSUM-D26)),0)</f>
        <v>0</v>
      </c>
      <c r="F26" s="32">
        <f>IF(AND($E$8&gt;2,(F24+F25)&gt;0),IF(D_THREESUM&lt;SUBLIMIT,0,IF(AND(D_THREESUM&gt;SUBLIMIT,D_TWOSUM&gt;SUBLIMIT),-(F24+F25),SUBLIMIT-D_THREESUM)),0)</f>
        <v>0</v>
      </c>
      <c r="G26" s="32">
        <f>IF(AND($E$8&gt;3,(G24+G25)&gt;0),IF(D_FOURSUM&lt;SUBLIMIT,0,IF(AND(D_FOURSUM&gt;SUBLIMIT,D_THREESUM&gt;SUBLIMIT),-(G24+G25),SUBLIMIT-D_FOURSUM)),0)</f>
        <v>0</v>
      </c>
      <c r="H26" s="32">
        <f>IF(AND($E$8&gt;4,(H24+H25)&gt;0),IF(D_FIVESUM&lt;SUBLIMIT,0,IF(AND(D_FIVESUM&gt;SUBLIMIT,D_FOURSUM&gt;SUBLIMIT),-(H24+H25),SUBLIMIT-D_FIVESUM)),0)</f>
        <v>0</v>
      </c>
      <c r="I26" s="32">
        <f>IF(AND($E$8&gt;5,(I24+I25)&gt;0),IF(D_SIXSUM&lt;SUBLIMIT,0,IF(AND(D_SIXSUM&gt;SUBLIMIT,D_FIVESUM&gt;SUBLIMIT),-(I24+I25),SUBLIMIT-D_SIXSUM)),0)</f>
        <v>0</v>
      </c>
      <c r="J26" s="32">
        <f>IF(AND($E$8&gt;1,(J24+J25)&gt;0),IF(D_SEVENSUM&lt;SUBLIMIT,0,IF(AND(D_SEVENSUM&gt;SUBLIMIT,D_SIXSUM&gt;SUBLIMIT),-(J24+J25),SUBLIMIT-D_SEVENSUM)),0)</f>
        <v>0</v>
      </c>
      <c r="K26" s="32">
        <f>IF(AND($E$8&gt;1,(K24+K25)&gt;0),IF(D_EIGHTSUM&lt;SUBLIMIT,0,IF(AND(D_EIGHTSUM&gt;SUBLIMIT,D_SEVENSUM&gt;SUBLIMIT),-(K24+K25),SUBLIMIT-D_EIGHTSUM)),0)</f>
        <v>0</v>
      </c>
      <c r="L26" s="32">
        <f>IF(AND($E$8&gt;1,(L24+L25)&gt;0),IF(D_NINESUM&lt;SUBLIMIT,0,IF(AND(D_NINESUM&gt;SUBLIMIT,D_EIGHTSUM&gt;SUBLIMIT),-(L24+L25),SUBLIMIT-D_NINESUM)),0)</f>
        <v>0</v>
      </c>
      <c r="M26" s="32">
        <f>IF(AND($E$8&gt;1,(M24+M25)&gt;0),IF(D_TENSUM&lt;SUBLIMIT,0,IF(AND(D_TENSUM&gt;SUBLIMIT,D_NINESUM&gt;SUBLIMIT),-(M24+M25),SUBLIMIT-D_TENSUM)),0)</f>
        <v>0</v>
      </c>
      <c r="N26" s="37">
        <f t="shared" si="0"/>
        <v>0</v>
      </c>
      <c r="O26" s="800"/>
      <c r="P26" s="800"/>
      <c r="Q26" s="800"/>
      <c r="R26" s="800"/>
      <c r="S26" s="800"/>
      <c r="T26" s="769"/>
      <c r="U26" s="769"/>
      <c r="V26" s="769"/>
      <c r="W26" s="769"/>
      <c r="X26" s="769"/>
      <c r="Y26" s="769"/>
    </row>
    <row r="27" spans="1:25" ht="15.75" customHeight="1" x14ac:dyDescent="0.25">
      <c r="A27" s="774" t="s">
        <v>103</v>
      </c>
      <c r="B27" s="771"/>
      <c r="C27" s="773" t="s">
        <v>356</v>
      </c>
      <c r="D27" s="517"/>
      <c r="E27" s="517"/>
      <c r="F27" s="517"/>
      <c r="G27" s="517"/>
      <c r="H27" s="517"/>
      <c r="I27" s="517"/>
      <c r="J27" s="517"/>
      <c r="K27" s="517"/>
      <c r="L27" s="517"/>
      <c r="M27" s="517"/>
      <c r="N27" s="36">
        <f t="shared" si="0"/>
        <v>0</v>
      </c>
      <c r="O27" s="800">
        <f>D27+D28+M75</f>
        <v>0</v>
      </c>
      <c r="P27" s="800">
        <f>O27+(E27+E28)</f>
        <v>0</v>
      </c>
      <c r="Q27" s="800">
        <f t="shared" ref="Q27:X27" si="5">(F27+F28)+P27</f>
        <v>0</v>
      </c>
      <c r="R27" s="800">
        <f t="shared" si="5"/>
        <v>0</v>
      </c>
      <c r="S27" s="800">
        <f t="shared" si="5"/>
        <v>0</v>
      </c>
      <c r="T27" s="800">
        <f t="shared" si="5"/>
        <v>0</v>
      </c>
      <c r="U27" s="800">
        <f t="shared" si="5"/>
        <v>0</v>
      </c>
      <c r="V27" s="800">
        <f t="shared" si="5"/>
        <v>0</v>
      </c>
      <c r="W27" s="800">
        <f t="shared" si="5"/>
        <v>0</v>
      </c>
      <c r="X27" s="800">
        <f t="shared" si="5"/>
        <v>0</v>
      </c>
      <c r="Y27" s="769"/>
    </row>
    <row r="28" spans="1:25" ht="15.75" customHeight="1" x14ac:dyDescent="0.25">
      <c r="A28" s="772" t="s">
        <v>28</v>
      </c>
      <c r="B28" s="794"/>
      <c r="C28" s="770" t="s">
        <v>357</v>
      </c>
      <c r="D28" s="517"/>
      <c r="E28" s="517"/>
      <c r="F28" s="517"/>
      <c r="G28" s="517"/>
      <c r="H28" s="517"/>
      <c r="I28" s="517"/>
      <c r="J28" s="517"/>
      <c r="K28" s="517"/>
      <c r="L28" s="517"/>
      <c r="M28" s="517"/>
      <c r="N28" s="37">
        <f t="shared" si="0"/>
        <v>0</v>
      </c>
      <c r="O28" s="800"/>
      <c r="P28" s="800"/>
      <c r="Q28" s="800"/>
      <c r="R28" s="800"/>
      <c r="S28" s="800"/>
      <c r="T28" s="800"/>
      <c r="U28" s="800"/>
      <c r="V28" s="800"/>
      <c r="W28" s="800"/>
      <c r="X28" s="800"/>
      <c r="Y28" s="769"/>
    </row>
    <row r="29" spans="1:25" ht="15.75" customHeight="1" x14ac:dyDescent="0.25">
      <c r="A29" s="768"/>
      <c r="B29" s="767"/>
      <c r="C29" s="766" t="str">
        <f>+C26</f>
        <v>Adjustments to F&amp;A calculation:</v>
      </c>
      <c r="D29" s="32">
        <f>(MIN(0,IF(SUBLIMIT-((D27+D28)+M75)&lt;((D27+D28)-2*(D27+D28)),((D27+D28)-2*(D27+D28)),(SUBLIMIT-((D27+D28)+M75)))))</f>
        <v>0</v>
      </c>
      <c r="E29" s="32">
        <f>IF(AND($E$8&gt;1,(E27+E28)&gt;0),IF(E_TWOSUM&lt;SUBLIMIT,0,IF(AND(E_TWOSUM&gt;SUBLIMIT,(D27+D28)&gt;SUBLIMIT),-(E27+E28),SUBLIMIT-E_TWOSUM-D29)),0)</f>
        <v>0</v>
      </c>
      <c r="F29" s="32">
        <f>IF(AND($E$8&gt;2,(F27+F28)&gt;0),IF(E_THREESUM&lt;SUBLIMIT,0,IF(AND(E_THREESUM&gt;SUBLIMIT,E_TWOSUM&gt;SUBLIMIT),-(F27+F28),SUBLIMIT-E_THREESUM)),0)</f>
        <v>0</v>
      </c>
      <c r="G29" s="32">
        <f>IF(AND($E$8&gt;3,(G27+G28)&gt;0),IF(E_FOURSUM&lt;SUBLIMIT,0,IF(AND(E_FOURSUM&gt;SUBLIMIT,E_THREESUM&gt;SUBLIMIT),-(G27+G28),SUBLIMIT-E_FOURSUM)),0)</f>
        <v>0</v>
      </c>
      <c r="H29" s="32">
        <f>IF(AND($E$8&gt;4,(H27+H28)&gt;0),IF(E_FIVESUM&lt;SUBLIMIT,0,IF(AND(E_FIVESUM&gt;SUBLIMIT,E_FOURSUM&gt;SUBLIMIT),-(H27+H28),SUBLIMIT-E_FIVESUM)),0)</f>
        <v>0</v>
      </c>
      <c r="I29" s="32">
        <f>IF(AND($E$8&gt;5,(I27+I28)&gt;0),IF(E_SIXSUM&lt;SUBLIMIT,0,IF(AND(E_SIXSUM&gt;SUBLIMIT,E_FIVESUM&gt;SUBLIMIT),-(I27+I28),SUBLIMIT-E_SIXSUM)),0)</f>
        <v>0</v>
      </c>
      <c r="J29" s="32">
        <f>IF(AND($E$8&gt;1,(J27+J28)&gt;0),IF(E_SEVENSUM&lt;SUBLIMIT,0,IF(AND(E_SEVENSUM&gt;SUBLIMIT,E_SIXSUM&gt;SUBLIMIT),-(J27+J28),SUBLIMIT-E_SEVENSUM)),0)</f>
        <v>0</v>
      </c>
      <c r="K29" s="32">
        <f>IF(AND($E$8&gt;1,(K27+K28)&gt;0),IF(E_EIGHTSUM&lt;SUBLIMIT,0,IF(AND(E_EIGHTSUM&gt;SUBLIMIT,E_SEVENSUM&gt;SUBLIMIT),-(K27+K28),SUBLIMIT-E_EIGHTSUM)),0)</f>
        <v>0</v>
      </c>
      <c r="L29" s="32">
        <f>IF(AND($E$8&gt;1,(L27+L28)&gt;0),IF(E_NINESUM&lt;SUBLIMIT,0,IF(AND(E_NINESUM&gt;SUBLIMIT,E_EIGHTSUM&gt;SUBLIMIT),-(L27+L28),SUBLIMIT-E_NINESUM)),0)</f>
        <v>0</v>
      </c>
      <c r="M29" s="32">
        <f>IF(AND($E$8&gt;1,(M27+M28)&gt;0),IF(E_TENSUM&lt;SUBLIMIT,0,IF(AND(E_TENSUM&gt;SUBLIMIT,E_NINESUM&gt;SUBLIMIT),-(M27+M28),SUBLIMIT-E_TENSUM)),0)</f>
        <v>0</v>
      </c>
      <c r="N29" s="37">
        <f t="shared" si="0"/>
        <v>0</v>
      </c>
      <c r="O29" s="800"/>
      <c r="P29" s="800"/>
      <c r="Q29" s="800"/>
      <c r="R29" s="800"/>
      <c r="S29" s="800"/>
      <c r="T29" s="769"/>
      <c r="U29" s="769"/>
      <c r="V29" s="769"/>
      <c r="W29" s="769"/>
      <c r="X29" s="769"/>
      <c r="Y29" s="769"/>
    </row>
    <row r="30" spans="1:25" ht="15.75" customHeight="1" x14ac:dyDescent="0.25">
      <c r="A30" s="774" t="s">
        <v>57</v>
      </c>
      <c r="B30" s="771"/>
      <c r="C30" s="773" t="s">
        <v>441</v>
      </c>
      <c r="D30" s="517"/>
      <c r="E30" s="517"/>
      <c r="F30" s="517"/>
      <c r="G30" s="517"/>
      <c r="H30" s="517"/>
      <c r="I30" s="517"/>
      <c r="J30" s="517"/>
      <c r="K30" s="517"/>
      <c r="L30" s="517"/>
      <c r="M30" s="517"/>
      <c r="N30" s="36">
        <f t="shared" si="0"/>
        <v>0</v>
      </c>
      <c r="O30" s="800">
        <f>D30+D31+M76</f>
        <v>0</v>
      </c>
      <c r="P30" s="800">
        <f>O30+(E30+E31)</f>
        <v>0</v>
      </c>
      <c r="Q30" s="800">
        <f t="shared" ref="Q30:X30" si="6">(F30+F31)+P30</f>
        <v>0</v>
      </c>
      <c r="R30" s="800">
        <f t="shared" si="6"/>
        <v>0</v>
      </c>
      <c r="S30" s="800">
        <f t="shared" si="6"/>
        <v>0</v>
      </c>
      <c r="T30" s="800">
        <f t="shared" si="6"/>
        <v>0</v>
      </c>
      <c r="U30" s="800">
        <f t="shared" si="6"/>
        <v>0</v>
      </c>
      <c r="V30" s="800">
        <f t="shared" si="6"/>
        <v>0</v>
      </c>
      <c r="W30" s="800">
        <f t="shared" si="6"/>
        <v>0</v>
      </c>
      <c r="X30" s="800">
        <f t="shared" si="6"/>
        <v>0</v>
      </c>
      <c r="Y30" s="769"/>
    </row>
    <row r="31" spans="1:25" ht="15.75" customHeight="1" x14ac:dyDescent="0.25">
      <c r="A31" s="772" t="s">
        <v>28</v>
      </c>
      <c r="B31" s="794"/>
      <c r="C31" s="770" t="s">
        <v>440</v>
      </c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37">
        <f t="shared" si="0"/>
        <v>0</v>
      </c>
      <c r="O31" s="800"/>
      <c r="P31" s="800"/>
      <c r="Q31" s="800"/>
      <c r="R31" s="800"/>
      <c r="S31" s="800"/>
      <c r="T31" s="800"/>
      <c r="U31" s="800"/>
      <c r="V31" s="800"/>
      <c r="W31" s="800"/>
      <c r="X31" s="800"/>
      <c r="Y31" s="769"/>
    </row>
    <row r="32" spans="1:25" ht="15.75" customHeight="1" x14ac:dyDescent="0.25">
      <c r="A32" s="768"/>
      <c r="B32" s="767"/>
      <c r="C32" s="766" t="str">
        <f>+C29</f>
        <v>Adjustments to F&amp;A calculation:</v>
      </c>
      <c r="D32" s="32">
        <f>(MIN(0,IF(SUBLIMIT-((D30+D31)+M76)&lt;((D30+D31)-2*(D30+D31)),((D30+D31)-2*(D30+D31)),(SUBLIMIT-((D30+D31)+M76)))))</f>
        <v>0</v>
      </c>
      <c r="E32" s="32">
        <f>IF(AND($E$8&gt;1,(E30+E31)&gt;0),IF(F_TWOSUM&lt;SUBLIMIT,0,IF(AND(F_TWOSUM&gt;SUBLIMIT,(D30+D31)&gt;SUBLIMIT),-(E30+E31),SUBLIMIT-F_TWOSUM-D32)),0)</f>
        <v>0</v>
      </c>
      <c r="F32" s="32">
        <f>IF(AND($E$8&gt;2,(F30+F31)&gt;0),IF(F_THREESUM&lt;SUBLIMIT,0,IF(AND(F_THREESUM&gt;SUBLIMIT,F_TWOSUM&gt;SUBLIMIT),-(F30+F31),SUBLIMIT-F_THREESUM)),0)</f>
        <v>0</v>
      </c>
      <c r="G32" s="32">
        <f>IF(AND($E$8&gt;3,(G30+G31)&gt;0),IF(F_FOURSUM&lt;SUBLIMIT,0,IF(AND(F_FOURSUM&gt;SUBLIMIT,F_THREESUM&gt;SUBLIMIT),-(G30+G31),SUBLIMIT-F_FOURSUM)),0)</f>
        <v>0</v>
      </c>
      <c r="H32" s="32">
        <f>IF(AND($E$8&gt;4,(H30+H31)&gt;0),IF(F_FIVESUM&lt;SUBLIMIT,0,IF(AND(F_FIVESUM&gt;SUBLIMIT,F_FOURSUM&gt;SUBLIMIT),-(H30+H31),SUBLIMIT-F_FIVESUM)),0)</f>
        <v>0</v>
      </c>
      <c r="I32" s="32">
        <f>IF(AND($E$8&gt;5,(I30+I31)&gt;0),IF(F_SIXSUM&lt;SUBLIMIT,0,IF(AND(F_SIXSUM&gt;SUBLIMIT,F_FIVESUM&gt;SUBLIMIT),-(I30+I31),SUBLIMIT-F_SIXSUM)),0)</f>
        <v>0</v>
      </c>
      <c r="J32" s="32">
        <f>IF(AND($E$8&gt;1,(J30+J31)&gt;0),IF(F_SEVENSUM&lt;SUBLIMIT,0,IF(AND(F_SEVENSUM&gt;SUBLIMIT,F_SIXSUM&gt;SUBLIMIT),-(J30+J31),SUBLIMIT-F_SEVENSUM)),0)</f>
        <v>0</v>
      </c>
      <c r="K32" s="32">
        <f>IF(AND($E$8&gt;1,(K30+K31)&gt;0),IF(F_EIGHTSUM&lt;SUBLIMIT,0,IF(AND(F_EIGHTSUM&gt;SUBLIMIT,F_SEVENSUM&gt;SUBLIMIT),-(K30+K31),SUBLIMIT-F_EIGHTSUM)),0)</f>
        <v>0</v>
      </c>
      <c r="L32" s="32">
        <f>IF(AND($E$8&gt;1,(L30+L31)&gt;0),IF(F_NINESUM&lt;SUBLIMIT,0,IF(AND(F_NINESUM&gt;SUBLIMIT,F_EIGHTSUM&gt;SUBLIMIT),-(L30+L31),SUBLIMIT-F_NINESUM)),0)</f>
        <v>0</v>
      </c>
      <c r="M32" s="32">
        <f>IF(AND($E$8&gt;1,(M30+M31)&gt;0),IF(F_TENSUM&lt;SUBLIMIT,0,IF(AND(F_TENSUM&gt;SUBLIMIT,F_NINESUM&gt;SUBLIMIT),-(M30+M31),SUBLIMIT-F_TENSUM)),0)</f>
        <v>0</v>
      </c>
      <c r="N32" s="37">
        <f t="shared" si="0"/>
        <v>0</v>
      </c>
      <c r="O32" s="800"/>
      <c r="P32" s="800"/>
      <c r="Q32" s="800"/>
      <c r="R32" s="800"/>
      <c r="S32" s="800"/>
      <c r="T32" s="769"/>
      <c r="U32" s="769"/>
      <c r="V32" s="769"/>
      <c r="W32" s="769"/>
      <c r="X32" s="769"/>
      <c r="Y32" s="769"/>
    </row>
    <row r="33" spans="1:25" ht="15.75" customHeight="1" x14ac:dyDescent="0.25">
      <c r="A33" s="774" t="s">
        <v>104</v>
      </c>
      <c r="B33" s="771"/>
      <c r="C33" s="773" t="s">
        <v>441</v>
      </c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36">
        <f t="shared" si="0"/>
        <v>0</v>
      </c>
      <c r="O33" s="800">
        <f>D33+D34+M77</f>
        <v>0</v>
      </c>
      <c r="P33" s="800">
        <f>O33+(E33+E34)</f>
        <v>0</v>
      </c>
      <c r="Q33" s="800">
        <f t="shared" ref="Q33:X33" si="7">(F33+F34)+P33</f>
        <v>0</v>
      </c>
      <c r="R33" s="800">
        <f t="shared" si="7"/>
        <v>0</v>
      </c>
      <c r="S33" s="800">
        <f t="shared" si="7"/>
        <v>0</v>
      </c>
      <c r="T33" s="800">
        <f t="shared" si="7"/>
        <v>0</v>
      </c>
      <c r="U33" s="800">
        <f t="shared" si="7"/>
        <v>0</v>
      </c>
      <c r="V33" s="800">
        <f t="shared" si="7"/>
        <v>0</v>
      </c>
      <c r="W33" s="800">
        <f t="shared" si="7"/>
        <v>0</v>
      </c>
      <c r="X33" s="800">
        <f t="shared" si="7"/>
        <v>0</v>
      </c>
      <c r="Y33" s="769"/>
    </row>
    <row r="34" spans="1:25" ht="15.75" customHeight="1" x14ac:dyDescent="0.25">
      <c r="A34" s="772" t="s">
        <v>28</v>
      </c>
      <c r="B34" s="794"/>
      <c r="C34" s="770" t="s">
        <v>440</v>
      </c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37">
        <f t="shared" si="0"/>
        <v>0</v>
      </c>
      <c r="O34" s="800"/>
      <c r="P34" s="800"/>
      <c r="Q34" s="800"/>
      <c r="R34" s="800"/>
      <c r="S34" s="800"/>
      <c r="T34" s="800"/>
      <c r="U34" s="800"/>
      <c r="V34" s="800"/>
      <c r="W34" s="800"/>
      <c r="X34" s="800"/>
      <c r="Y34" s="769"/>
    </row>
    <row r="35" spans="1:25" ht="15.75" customHeight="1" x14ac:dyDescent="0.25">
      <c r="A35" s="768"/>
      <c r="B35" s="767"/>
      <c r="C35" s="766" t="str">
        <f>+C32</f>
        <v>Adjustments to F&amp;A calculation:</v>
      </c>
      <c r="D35" s="32">
        <f>(MIN(0,IF(SUBLIMIT-((D33+D34)+M77)&lt;((D33+D34)-2*(D33+D34)),((D33+D34)-2*(D33+D34)),(SUBLIMIT-((D33+D34)+M77)))))</f>
        <v>0</v>
      </c>
      <c r="E35" s="32">
        <f>IF(AND($E$8&gt;1,(E33+E34)&gt;0),IF(G_TWOSUM&lt;SUBLIMIT,0,IF(AND(G_TWOSUM&gt;SUBLIMIT,(D33+D34)&gt;SUBLIMIT),-(E33+E34),SUBLIMIT-G_TWOSUM-D35)),0)</f>
        <v>0</v>
      </c>
      <c r="F35" s="32">
        <f>IF(AND($E$8&gt;2,(F33+F34)&gt;0),IF(G_THREESUM&lt;SUBLIMIT,0,IF(AND(G_THREESUM&gt;SUBLIMIT,G_TWOSUM&gt;SUBLIMIT),-(F33+F34),SUBLIMIT-G_THREESUM)),0)</f>
        <v>0</v>
      </c>
      <c r="G35" s="32">
        <f>IF(AND($E$8&gt;3,(G33+G34)&gt;0),IF(G_FOURSUM&lt;SUBLIMIT,0,IF(AND(G_FOURSUM&gt;SUBLIMIT,G_THREESUM&gt;SUBLIMIT),-(G33+G34),SUBLIMIT-G_FOURSUM)),0)</f>
        <v>0</v>
      </c>
      <c r="H35" s="32">
        <f>IF(AND($E$8&gt;4,(H33+H34)&gt;0),IF(G_FIVESUM&lt;SUBLIMIT,0,IF(AND(G_FIVESUM&gt;SUBLIMIT,G_FOURSUM&gt;SUBLIMIT),-(H33+H34),SUBLIMIT-G_FIVESUM)),0)</f>
        <v>0</v>
      </c>
      <c r="I35" s="32">
        <f>IF(AND($E$8&gt;5,(I33+I34)&gt;0),IF(G_SIXSUM&lt;SUBLIMIT,0,IF(AND(G_SIXSUM&gt;SUBLIMIT,G_FIVESUM&gt;SUBLIMIT),-(I33+I34),SUBLIMIT-G_SIXSUM)),0)</f>
        <v>0</v>
      </c>
      <c r="J35" s="32">
        <f>IF(AND($E$8&gt;1,(J33+J34)&gt;0),IF(G_SEVENSUM&lt;SUBLIMIT,0,IF(AND(G_SEVENSUM&gt;SUBLIMIT,G_SIXSUM&gt;SUBLIMIT),-(J33+J34),SUBLIMIT-G_SEVENSUM)),0)</f>
        <v>0</v>
      </c>
      <c r="K35" s="32">
        <f>IF(AND($E$8&gt;1,(K33+K34)&gt;0),IF(G_EIGHTSUM&lt;SUBLIMIT,0,IF(AND(G_EIGHTSUM&gt;SUBLIMIT,G_SEVENSUM&gt;SUBLIMIT),-(K33+K34),SUBLIMIT-G_EIGHTSUM)),0)</f>
        <v>0</v>
      </c>
      <c r="L35" s="32">
        <f>IF(AND($E$8&gt;1,(L33+L34)&gt;0),IF(G_NINESUM&lt;SUBLIMIT,0,IF(AND(G_NINESUM&gt;SUBLIMIT,G_EIGHTSUM&gt;SUBLIMIT),-(L33+L34),SUBLIMIT-G_NINESUM)),0)</f>
        <v>0</v>
      </c>
      <c r="M35" s="32">
        <f>IF(AND($E$8&gt;1,(M33+M34)&gt;0),IF(G_TENSUM&lt;SUBLIMIT,0,IF(AND(G_TENSUM&gt;SUBLIMIT,G_NINESUM&gt;SUBLIMIT),-(M33+M34),SUBLIMIT-G_TENSUM)),0)</f>
        <v>0</v>
      </c>
      <c r="N35" s="37">
        <f t="shared" si="0"/>
        <v>0</v>
      </c>
      <c r="O35" s="800"/>
      <c r="P35" s="800"/>
      <c r="Q35" s="800"/>
      <c r="R35" s="800"/>
      <c r="S35" s="800"/>
      <c r="T35" s="769"/>
      <c r="U35" s="769"/>
      <c r="V35" s="769"/>
      <c r="W35" s="769"/>
      <c r="X35" s="769"/>
      <c r="Y35" s="769"/>
    </row>
    <row r="36" spans="1:25" ht="15.75" customHeight="1" x14ac:dyDescent="0.25">
      <c r="A36" s="774" t="s">
        <v>364</v>
      </c>
      <c r="B36" s="771"/>
      <c r="C36" s="773" t="s">
        <v>441</v>
      </c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36">
        <f t="shared" si="0"/>
        <v>0</v>
      </c>
      <c r="O36" s="800">
        <f>D36+D37+M78</f>
        <v>0</v>
      </c>
      <c r="P36" s="800">
        <f>O36+(E36+E37)</f>
        <v>0</v>
      </c>
      <c r="Q36" s="800">
        <f t="shared" ref="Q36:X36" si="8">(F36+F37)+P36</f>
        <v>0</v>
      </c>
      <c r="R36" s="800">
        <f t="shared" si="8"/>
        <v>0</v>
      </c>
      <c r="S36" s="800">
        <f t="shared" si="8"/>
        <v>0</v>
      </c>
      <c r="T36" s="800">
        <f t="shared" si="8"/>
        <v>0</v>
      </c>
      <c r="U36" s="800">
        <f t="shared" si="8"/>
        <v>0</v>
      </c>
      <c r="V36" s="800">
        <f t="shared" si="8"/>
        <v>0</v>
      </c>
      <c r="W36" s="800">
        <f t="shared" si="8"/>
        <v>0</v>
      </c>
      <c r="X36" s="800">
        <f t="shared" si="8"/>
        <v>0</v>
      </c>
      <c r="Y36" s="769"/>
    </row>
    <row r="37" spans="1:25" ht="15.75" customHeight="1" x14ac:dyDescent="0.25">
      <c r="A37" s="772" t="s">
        <v>28</v>
      </c>
      <c r="B37" s="794"/>
      <c r="C37" s="770" t="s">
        <v>440</v>
      </c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37">
        <f t="shared" si="0"/>
        <v>0</v>
      </c>
      <c r="O37" s="800"/>
      <c r="P37" s="800"/>
      <c r="Q37" s="800"/>
      <c r="R37" s="800"/>
      <c r="S37" s="800"/>
      <c r="T37" s="800"/>
      <c r="U37" s="800"/>
      <c r="V37" s="800"/>
      <c r="W37" s="800"/>
      <c r="X37" s="800"/>
      <c r="Y37" s="769"/>
    </row>
    <row r="38" spans="1:25" ht="15.75" customHeight="1" x14ac:dyDescent="0.25">
      <c r="A38" s="768"/>
      <c r="B38" s="767"/>
      <c r="C38" s="766" t="s">
        <v>192</v>
      </c>
      <c r="D38" s="32">
        <f>(MIN(0,IF(SUBLIMIT-((D36+D37)+M78)&lt;((D36+D37)-2*(D36+D37)),((D36+D37)-2*(D36+D37)),(SUBLIMIT-((D36+D37)+M78)))))</f>
        <v>0</v>
      </c>
      <c r="E38" s="32">
        <f>IF(AND($E$8&gt;1,(E36+E37)&gt;0),IF(H_TWOSUM&lt;SUBLIMIT,0,IF(AND(H_TWOSUM&gt;SUBLIMIT,(D36+D37)&gt;SUBLIMIT),-(E36+E37),SUBLIMIT-H_TWOSUM-D38)),0)</f>
        <v>0</v>
      </c>
      <c r="F38" s="32">
        <f>IF(AND($E$8&gt;2,(F36+F37)&gt;0),IF(H_THREESUM&lt;SUBLIMIT,0,IF(AND(H_THREESUM&gt;SUBLIMIT,H_TWOSUM&gt;SUBLIMIT),-(F36+F37),SUBLIMIT-H_THREESUM)),0)</f>
        <v>0</v>
      </c>
      <c r="G38" s="32">
        <f>IF(AND($E$8&gt;3,(G36+G37)&gt;0),IF(H_FOURSUM&lt;SUBLIMIT,0,IF(AND(H_FOURSUM&gt;SUBLIMIT,H_THREESUM&gt;SUBLIMIT),-(G36+G37),SUBLIMIT-H_FOURSUM)),0)</f>
        <v>0</v>
      </c>
      <c r="H38" s="32">
        <f>IF(AND($E$8&gt;4,(H36+H37)&gt;0),IF(H_FIVESUM&lt;SUBLIMIT,0,IF(AND(H_FIVESUM&gt;SUBLIMIT,H_FOURSUM&gt;SUBLIMIT),-(H36+H37),SUBLIMIT-H_FIVESUM)),0)</f>
        <v>0</v>
      </c>
      <c r="I38" s="32">
        <f>IF(AND($E$8&gt;5,(I36+I37)&gt;0),IF(H_SIXSUM&lt;SUBLIMIT,0,IF(AND(H_SIXSUM&gt;SUBLIMIT,H_FIVESUM&gt;SUBLIMIT),-(I36+I37),SUBLIMIT-H_SIXSUM)),0)</f>
        <v>0</v>
      </c>
      <c r="J38" s="32">
        <f>IF(AND($E$8&gt;1,(J36+J37)&gt;0),IF(H_SEVENSUM&lt;SUBLIMIT,0,IF(AND(H_SEVENSUM&gt;SUBLIMIT,H_SIXSUM&gt;SUBLIMIT),-(J36+J37),SUBLIMIT-H_SEVENSUM)),0)</f>
        <v>0</v>
      </c>
      <c r="K38" s="32">
        <f>IF(AND($E$8&gt;1,(K36+K37)&gt;0),IF(H_EIGHTSUM&lt;SUBLIMIT,0,IF(AND(H_EIGHTSUM&gt;SUBLIMIT,H_SEVENSUM&gt;SUBLIMIT),-(K36+K37),SUBLIMIT-H_EIGHTSUM)),0)</f>
        <v>0</v>
      </c>
      <c r="L38" s="32">
        <f>IF(AND($E$8&gt;1,(L36+L37)&gt;0),IF(H_NINESUM&lt;SUBLIMIT,0,IF(AND(H_NINESUM&gt;SUBLIMIT,H_EIGHTSUM&gt;SUBLIMIT),-(L36+L37),SUBLIMIT-H_NINESUM)),0)</f>
        <v>0</v>
      </c>
      <c r="M38" s="32">
        <f>IF(AND($E$8&gt;1,(M36+M37)&gt;0),IF(H_TENSUM&lt;SUBLIMIT,0,IF(AND(H_TENSUM&gt;SUBLIMIT,H_NINESUM&gt;SUBLIMIT),-(M36+M37),SUBLIMIT-H_TENSUM)),0)</f>
        <v>0</v>
      </c>
      <c r="N38" s="37">
        <f t="shared" si="0"/>
        <v>0</v>
      </c>
      <c r="O38" s="800"/>
      <c r="P38" s="800"/>
      <c r="Q38" s="800"/>
      <c r="R38" s="800"/>
      <c r="S38" s="800"/>
      <c r="T38" s="769"/>
      <c r="U38" s="769"/>
      <c r="V38" s="769"/>
      <c r="W38" s="769"/>
      <c r="X38" s="769"/>
      <c r="Y38" s="769"/>
    </row>
    <row r="39" spans="1:25" ht="15.75" customHeight="1" x14ac:dyDescent="0.25">
      <c r="A39" s="774" t="s">
        <v>365</v>
      </c>
      <c r="B39" s="771"/>
      <c r="C39" s="773" t="s">
        <v>441</v>
      </c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36">
        <f t="shared" si="0"/>
        <v>0</v>
      </c>
      <c r="O39" s="800">
        <f>(D39+D40)+M79</f>
        <v>0</v>
      </c>
      <c r="P39" s="800">
        <f>O39+(E39+E40)</f>
        <v>0</v>
      </c>
      <c r="Q39" s="800">
        <f t="shared" ref="Q39:X39" si="9">(F39+F40)+P39</f>
        <v>0</v>
      </c>
      <c r="R39" s="800">
        <f t="shared" si="9"/>
        <v>0</v>
      </c>
      <c r="S39" s="800">
        <f t="shared" si="9"/>
        <v>0</v>
      </c>
      <c r="T39" s="800">
        <f t="shared" si="9"/>
        <v>0</v>
      </c>
      <c r="U39" s="800">
        <f t="shared" si="9"/>
        <v>0</v>
      </c>
      <c r="V39" s="800">
        <f t="shared" si="9"/>
        <v>0</v>
      </c>
      <c r="W39" s="800">
        <f t="shared" si="9"/>
        <v>0</v>
      </c>
      <c r="X39" s="800">
        <f t="shared" si="9"/>
        <v>0</v>
      </c>
      <c r="Y39" s="769"/>
    </row>
    <row r="40" spans="1:25" ht="15.75" customHeight="1" x14ac:dyDescent="0.25">
      <c r="A40" s="772" t="s">
        <v>28</v>
      </c>
      <c r="B40" s="794"/>
      <c r="C40" s="770" t="s">
        <v>440</v>
      </c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37">
        <f t="shared" si="0"/>
        <v>0</v>
      </c>
      <c r="O40" s="800"/>
      <c r="P40" s="800"/>
      <c r="Q40" s="800"/>
      <c r="R40" s="800"/>
      <c r="S40" s="800"/>
      <c r="T40" s="800"/>
      <c r="U40" s="800"/>
      <c r="V40" s="800"/>
      <c r="W40" s="800"/>
      <c r="X40" s="800"/>
      <c r="Y40" s="769"/>
    </row>
    <row r="41" spans="1:25" ht="15.75" customHeight="1" x14ac:dyDescent="0.25">
      <c r="A41" s="768"/>
      <c r="B41" s="767"/>
      <c r="C41" s="766" t="str">
        <f>+C38</f>
        <v>Adjustments to F&amp;A calculation:</v>
      </c>
      <c r="D41" s="32">
        <f>(MIN(0,IF(SUBLIMIT-((D39+D40)+M79)&lt;((D39+D40)-2*(D39+D40)),((D39+D40)-2*(D39+D40)),(SUBLIMIT-((D39+D40)+M79)))))</f>
        <v>0</v>
      </c>
      <c r="E41" s="32">
        <f>IF(AND($E$8&gt;1,(E39+E40)&gt;0),IF(I_TWOSUM&lt;SUBLIMIT,0,IF(AND(I_TWOSUM&gt;SUBLIMIT,(D39+D40)&gt;SUBLIMIT),-(E39+E40),SUBLIMIT-I_TWOSUM-D41)),0)</f>
        <v>0</v>
      </c>
      <c r="F41" s="32">
        <f>IF(AND($E$8&gt;2,(F39+F40)&gt;0),IF(I_THREESUM&lt;SUBLIMIT,0,IF(AND(I_THREESUM&gt;SUBLIMIT,I_TWOSUM&gt;SUBLIMIT),-(F39+F40),SUBLIMIT-I_THREESUM)),0)</f>
        <v>0</v>
      </c>
      <c r="G41" s="32">
        <f>IF(AND($E$8&gt;3,(G39+G40)&gt;0),IF(I_FOURSUM&lt;SUBLIMIT,0,IF(AND(I_FOURSUM&gt;SUBLIMIT,I_THREESUM&gt;SUBLIMIT),-(G39+G40),SUBLIMIT-I_FOURSUM)),0)</f>
        <v>0</v>
      </c>
      <c r="H41" s="32">
        <f>IF(AND($E$8&gt;4,(H39+H40)&gt;0),IF(I_FIVESUM&lt;SUBLIMIT,0,IF(AND(I_FIVESUM&gt;SUBLIMIT,I_FOURSUM&gt;SUBLIMIT),-(H39+H40),SUBLIMIT-I_FIVESUM)),0)</f>
        <v>0</v>
      </c>
      <c r="I41" s="32">
        <f>IF(AND($E$8&gt;5,(I39+I40)&gt;0),IF(I_SIXSUM&lt;SUBLIMIT,0,IF(AND(I_SIXSUM&gt;SUBLIMIT,I_FIVESUM&gt;SUBLIMIT),-(I39+I40),SUBLIMIT-I_SIXSUM)),0)</f>
        <v>0</v>
      </c>
      <c r="J41" s="32">
        <f>IF(AND($E$8&gt;1,(J39+J40)&gt;0),IF(I_SEVENSUM&lt;SUBLIMIT,0,IF(AND(I_SEVENSUM&gt;SUBLIMIT,I_SIXSUM&gt;SUBLIMIT),-(J39+J40),SUBLIMIT-I_SEVENSUM)),0)</f>
        <v>0</v>
      </c>
      <c r="K41" s="32">
        <f>IF(AND($E$8&gt;1,(K39+K40)&gt;0),IF(I_EIGHTSUM&lt;SUBLIMIT,0,IF(AND(I_EIGHTSUM&gt;SUBLIMIT,I_SEVENSUM&gt;SUBLIMIT),-(K39+K40),SUBLIMIT-I_EIGHTSUM)),0)</f>
        <v>0</v>
      </c>
      <c r="L41" s="32">
        <f>IF(AND($E$8&gt;1,(L39+L40)&gt;0),IF(I_NINESUM&lt;SUBLIMIT,0,IF(AND(I_NINESUM&gt;SUBLIMIT,I_EIGHTSUM&gt;SUBLIMIT),-(L39+L40),SUBLIMIT-I_NINESUM)),0)</f>
        <v>0</v>
      </c>
      <c r="M41" s="32">
        <f>IF(AND($E$8&gt;1,(M39+M40)&gt;0),IF(I_TENSUM&lt;SUBLIMIT,0,IF(AND(I_TENSUM&gt;SUBLIMIT,I_NINESUM&gt;SUBLIMIT),-(M39+M40),SUBLIMIT-I_TENSUM)),0)</f>
        <v>0</v>
      </c>
      <c r="N41" s="37">
        <f t="shared" si="0"/>
        <v>0</v>
      </c>
      <c r="O41" s="800"/>
      <c r="P41" s="800"/>
      <c r="Q41" s="800"/>
      <c r="R41" s="800"/>
      <c r="S41" s="800"/>
      <c r="T41" s="769"/>
      <c r="U41" s="769"/>
      <c r="V41" s="769"/>
      <c r="W41" s="769"/>
      <c r="X41" s="769"/>
      <c r="Y41" s="769"/>
    </row>
    <row r="42" spans="1:25" ht="15.75" customHeight="1" x14ac:dyDescent="0.25">
      <c r="A42" s="774" t="s">
        <v>366</v>
      </c>
      <c r="B42" s="771"/>
      <c r="C42" s="773" t="s">
        <v>441</v>
      </c>
      <c r="D42" s="517"/>
      <c r="E42" s="517"/>
      <c r="F42" s="517"/>
      <c r="G42" s="517"/>
      <c r="H42" s="517"/>
      <c r="I42" s="517"/>
      <c r="J42" s="517"/>
      <c r="K42" s="517"/>
      <c r="L42" s="517"/>
      <c r="M42" s="517"/>
      <c r="N42" s="36">
        <f t="shared" si="0"/>
        <v>0</v>
      </c>
      <c r="O42" s="800">
        <f>D42+D43+M80</f>
        <v>0</v>
      </c>
      <c r="P42" s="800">
        <f>O42+(E42+E43)</f>
        <v>0</v>
      </c>
      <c r="Q42" s="800">
        <f t="shared" ref="Q42:X42" si="10">(F42+F43)+P42</f>
        <v>0</v>
      </c>
      <c r="R42" s="800">
        <f t="shared" si="10"/>
        <v>0</v>
      </c>
      <c r="S42" s="800">
        <f t="shared" si="10"/>
        <v>0</v>
      </c>
      <c r="T42" s="800">
        <f t="shared" si="10"/>
        <v>0</v>
      </c>
      <c r="U42" s="800">
        <f t="shared" si="10"/>
        <v>0</v>
      </c>
      <c r="V42" s="800">
        <f t="shared" si="10"/>
        <v>0</v>
      </c>
      <c r="W42" s="800">
        <f t="shared" si="10"/>
        <v>0</v>
      </c>
      <c r="X42" s="800">
        <f t="shared" si="10"/>
        <v>0</v>
      </c>
      <c r="Y42" s="769"/>
    </row>
    <row r="43" spans="1:25" ht="15.75" customHeight="1" x14ac:dyDescent="0.25">
      <c r="A43" s="772" t="s">
        <v>28</v>
      </c>
      <c r="B43" s="794"/>
      <c r="C43" s="770" t="s">
        <v>440</v>
      </c>
      <c r="D43" s="517"/>
      <c r="E43" s="517"/>
      <c r="F43" s="517"/>
      <c r="G43" s="517"/>
      <c r="H43" s="517"/>
      <c r="I43" s="517"/>
      <c r="J43" s="517"/>
      <c r="K43" s="517"/>
      <c r="L43" s="517"/>
      <c r="M43" s="517"/>
      <c r="N43" s="37">
        <f t="shared" si="0"/>
        <v>0</v>
      </c>
      <c r="O43" s="800"/>
      <c r="P43" s="800"/>
      <c r="Q43" s="800"/>
      <c r="R43" s="800"/>
      <c r="S43" s="800"/>
      <c r="T43" s="800"/>
      <c r="U43" s="800"/>
      <c r="V43" s="800"/>
      <c r="W43" s="800"/>
      <c r="X43" s="800"/>
      <c r="Y43" s="769"/>
    </row>
    <row r="44" spans="1:25" ht="15.75" customHeight="1" x14ac:dyDescent="0.25">
      <c r="A44" s="768"/>
      <c r="B44" s="767"/>
      <c r="C44" s="766" t="str">
        <f>+C41</f>
        <v>Adjustments to F&amp;A calculation:</v>
      </c>
      <c r="D44" s="32">
        <f>(MIN(0,IF(SUBLIMIT-((D42+D43)+M80)&lt;((D42+D43)-2*(D42+D43)),((D42+D43)-2*(D42+D43)),(SUBLIMIT-((D42+D43)+M80)))))</f>
        <v>0</v>
      </c>
      <c r="E44" s="32">
        <f>IF(AND($E$8&gt;1,(E42+E43)&gt;0),IF(J_TWOSUM&lt;SUBLIMIT,0,IF(AND(J_TWOSUM&gt;SUBLIMIT,(D42+D43)&gt;SUBLIMIT),-(E42+E43),SUBLIMIT-J_TWOSUM-D44)),0)</f>
        <v>0</v>
      </c>
      <c r="F44" s="32">
        <f>IF(AND($E$8&gt;2,(F42+F43)&gt;0),IF(J_THREESUM&lt;SUBLIMIT,0,IF(AND(J_THREESUM&gt;SUBLIMIT,J_TWOSUM&gt;SUBLIMIT),-(F42+F43),SUBLIMIT-J_THREESUM)),0)</f>
        <v>0</v>
      </c>
      <c r="G44" s="32">
        <f>IF(AND($E$8&gt;3,(G42+G43)&gt;0),IF(J_FOURSUM&lt;SUBLIMIT,0,IF(AND(J_FOURSUM&gt;SUBLIMIT,J_THREESUM&gt;SUBLIMIT),-(G42+G43),SUBLIMIT-J_FOURSUM)),0)</f>
        <v>0</v>
      </c>
      <c r="H44" s="32">
        <f>IF(AND($E$8&gt;4,(H42+H43)&gt;0),IF(J_FIVESUM&lt;SUBLIMIT,0,IF(AND(J_FIVESUM&gt;SUBLIMIT,J_FOURSUM&gt;SUBLIMIT),-(H42+H43),SUBLIMIT-J_FIVESUM)),0)</f>
        <v>0</v>
      </c>
      <c r="I44" s="32">
        <f>IF(AND($E$8&gt;5,(I42+I43)&gt;0),IF(J_SIXSUM&lt;SUBLIMIT,0,IF(AND(J_SIXSUM&gt;SUBLIMIT,J_FIVESUM&gt;SUBLIMIT),-(I42+I43),SUBLIMIT-J_SIXSUM)),0)</f>
        <v>0</v>
      </c>
      <c r="J44" s="32">
        <f>IF(AND($E$8&gt;1,(J42+J43)&gt;0),IF(J_SEVENSUM&lt;SUBLIMIT,0,IF(AND(J_SEVENSUM&gt;SUBLIMIT,J_SIXSUM&gt;SUBLIMIT),-(J42+J43),SUBLIMIT-J_SEVENSUM)),0)</f>
        <v>0</v>
      </c>
      <c r="K44" s="32">
        <f>IF(AND($E$8&gt;1,(K42+K43)&gt;0),IF(J_EIGHTSUM&lt;SUBLIMIT,0,IF(AND(J_EIGHTSUM&gt;SUBLIMIT,J_SEVENSUM&gt;SUBLIMIT),-(K42+K43),SUBLIMIT-J_EIGHTSUM)),0)</f>
        <v>0</v>
      </c>
      <c r="L44" s="32">
        <f>IF(AND($E$8&gt;1,(L42+L43)&gt;0),IF(J_NINESUM&lt;SUBLIMIT,0,IF(AND(J_NINESUM&gt;SUBLIMIT,J_EIGHTSUM&gt;SUBLIMIT),-(L42+L43),SUBLIMIT-J_NINESUM)),0)</f>
        <v>0</v>
      </c>
      <c r="M44" s="32">
        <f>IF(AND($E$8&gt;1,(M42+M43)&gt;0),IF(J_TENSUM&lt;SUBLIMIT,0,IF(AND(J_TENSUM&gt;SUBLIMIT,J_NINESUM&gt;SUBLIMIT),-(M42+M43),SUBLIMIT-J_TENSUM)),0)</f>
        <v>0</v>
      </c>
      <c r="N44" s="37">
        <f t="shared" si="0"/>
        <v>0</v>
      </c>
      <c r="O44" s="800"/>
      <c r="P44" s="800"/>
      <c r="Q44" s="800"/>
      <c r="R44" s="800"/>
      <c r="S44" s="800"/>
      <c r="T44" s="769"/>
      <c r="U44" s="769"/>
      <c r="V44" s="769"/>
      <c r="W44" s="769"/>
      <c r="X44" s="769"/>
      <c r="Y44" s="769"/>
    </row>
    <row r="45" spans="1:25" ht="15.75" customHeight="1" x14ac:dyDescent="0.25">
      <c r="A45" s="774" t="s">
        <v>367</v>
      </c>
      <c r="B45" s="771"/>
      <c r="C45" s="773" t="s">
        <v>441</v>
      </c>
      <c r="D45" s="517"/>
      <c r="E45" s="517"/>
      <c r="F45" s="517"/>
      <c r="G45" s="517"/>
      <c r="H45" s="517"/>
      <c r="I45" s="517"/>
      <c r="J45" s="517"/>
      <c r="K45" s="517"/>
      <c r="L45" s="517"/>
      <c r="M45" s="517"/>
      <c r="N45" s="36">
        <f t="shared" si="0"/>
        <v>0</v>
      </c>
      <c r="O45" s="800">
        <f>D45+D46+M81</f>
        <v>0</v>
      </c>
      <c r="P45" s="800">
        <f>O45+(E45+E46)</f>
        <v>0</v>
      </c>
      <c r="Q45" s="800">
        <f t="shared" ref="Q45:X45" si="11">(F45+F46)+P45</f>
        <v>0</v>
      </c>
      <c r="R45" s="800">
        <f t="shared" si="11"/>
        <v>0</v>
      </c>
      <c r="S45" s="800">
        <f t="shared" si="11"/>
        <v>0</v>
      </c>
      <c r="T45" s="800">
        <f t="shared" si="11"/>
        <v>0</v>
      </c>
      <c r="U45" s="800">
        <f t="shared" si="11"/>
        <v>0</v>
      </c>
      <c r="V45" s="800">
        <f t="shared" si="11"/>
        <v>0</v>
      </c>
      <c r="W45" s="800">
        <f t="shared" si="11"/>
        <v>0</v>
      </c>
      <c r="X45" s="800">
        <f t="shared" si="11"/>
        <v>0</v>
      </c>
      <c r="Y45" s="769"/>
    </row>
    <row r="46" spans="1:25" ht="15.75" customHeight="1" x14ac:dyDescent="0.25">
      <c r="A46" s="772" t="s">
        <v>28</v>
      </c>
      <c r="B46" s="794"/>
      <c r="C46" s="770" t="s">
        <v>440</v>
      </c>
      <c r="D46" s="517"/>
      <c r="E46" s="517"/>
      <c r="F46" s="517"/>
      <c r="G46" s="517"/>
      <c r="H46" s="517"/>
      <c r="I46" s="517"/>
      <c r="J46" s="517"/>
      <c r="K46" s="517"/>
      <c r="L46" s="517"/>
      <c r="M46" s="517"/>
      <c r="N46" s="37">
        <f t="shared" si="0"/>
        <v>0</v>
      </c>
      <c r="O46" s="800"/>
      <c r="P46" s="800"/>
      <c r="Q46" s="800"/>
      <c r="R46" s="800"/>
      <c r="S46" s="800"/>
      <c r="T46" s="800"/>
      <c r="U46" s="800"/>
      <c r="V46" s="800"/>
      <c r="W46" s="800"/>
      <c r="X46" s="800"/>
      <c r="Y46" s="769"/>
    </row>
    <row r="47" spans="1:25" ht="15.75" customHeight="1" x14ac:dyDescent="0.25">
      <c r="A47" s="768"/>
      <c r="B47" s="767"/>
      <c r="C47" s="766" t="str">
        <f>+C44</f>
        <v>Adjustments to F&amp;A calculation:</v>
      </c>
      <c r="D47" s="32">
        <f>(MIN(0,IF(SUBLIMIT-((D45+D46)+M81)&lt;((D45+D46)-2*(D45+D46)),((D45+D46)-2*(D45+D46)),(SUBLIMIT-((D45+D46)+M81)))))</f>
        <v>0</v>
      </c>
      <c r="E47" s="32">
        <f>IF(AND($E$8&gt;1,(E45+E46)&gt;0),IF(K_TWOSUM&lt;SUBLIMIT,0,IF(AND(K_TWOSUM&gt;SUBLIMIT,(D45+D46)&gt;SUBLIMIT),-(E45+E46),SUBLIMIT-K_TWOSUM-D47)),0)</f>
        <v>0</v>
      </c>
      <c r="F47" s="32">
        <f>IF(AND($E$8&gt;2,(F45+F46)&gt;0),IF(K_THREESUM&lt;SUBLIMIT,0,IF(AND(K_THREESUM&gt;SUBLIMIT,K_TWOSUM&gt;SUBLIMIT),-(F45+F46),SUBLIMIT-K_THREESUM)),0)</f>
        <v>0</v>
      </c>
      <c r="G47" s="32">
        <f>IF(AND($E$8&gt;3,(G45+G46)&gt;0),IF(K_FOURSUM&lt;SUBLIMIT,0,IF(AND(K_FOURSUM&gt;SUBLIMIT,K_THREESUM&gt;SUBLIMIT),-(G45+G46),SUBLIMIT-K_FOURSUM)),0)</f>
        <v>0</v>
      </c>
      <c r="H47" s="32">
        <f>IF(AND($E$8&gt;4,(H45+H46)&gt;0),IF(K_FIVESUM&lt;SUBLIMIT,0,IF(AND(K_FIVESUM&gt;SUBLIMIT,K_FOURSUM&gt;SUBLIMIT),-(H45+H46),SUBLIMIT-K_FIVESUM)),0)</f>
        <v>0</v>
      </c>
      <c r="I47" s="32">
        <f>IF(AND($E$8&gt;5,(I45+I46)&gt;0),IF(K_SIXSUM&lt;SUBLIMIT,0,IF(AND(K_SIXSUM&gt;SUBLIMIT,K_FIVESUM&gt;SUBLIMIT),-(I45+I46),SUBLIMIT-K_SIXSUM)),0)</f>
        <v>0</v>
      </c>
      <c r="J47" s="32">
        <f>IF(AND($E$8&gt;1,(J45+J46)&gt;0),IF(K_SEVENSUM&lt;SUBLIMIT,0,IF(AND(K_SEVENSUM&gt;SUBLIMIT,K_SIXSUM&gt;SUBLIMIT),-(J45+J46),SUBLIMIT-K_SEVENSUM)),0)</f>
        <v>0</v>
      </c>
      <c r="K47" s="32">
        <f>IF(AND($E$8&gt;1,(K45+K46)&gt;0),IF(K_EIGHTSUM&lt;SUBLIMIT,0,IF(AND(K_EIGHTSUM&gt;SUBLIMIT,K_SEVENSUM&gt;SUBLIMIT),-(K45+K46),SUBLIMIT-K_EIGHTSUM)),0)</f>
        <v>0</v>
      </c>
      <c r="L47" s="32">
        <f>IF(AND($E$8&gt;1,(L45+L46)&gt;0),IF(K_NINESUM&lt;SUBLIMIT,0,IF(AND(K_NINESUM&gt;SUBLIMIT,K_EIGHTSUM&gt;SUBLIMIT),-(L45+L46),SUBLIMIT-K_NINESUM)),0)</f>
        <v>0</v>
      </c>
      <c r="M47" s="32">
        <f>IF(AND($E$8&gt;1,(M45+M46)&gt;0),IF(K_TENSUM&lt;SUBLIMIT,0,IF(AND(K_TENSUM&gt;SUBLIMIT,K_NINESUM&gt;SUBLIMIT),-(M45+M46),SUBLIMIT-K_TENSUM)),0)</f>
        <v>0</v>
      </c>
      <c r="N47" s="37">
        <f t="shared" si="0"/>
        <v>0</v>
      </c>
      <c r="O47" s="800"/>
      <c r="P47" s="800"/>
      <c r="Q47" s="800"/>
      <c r="R47" s="800"/>
      <c r="S47" s="800"/>
      <c r="T47" s="769"/>
      <c r="U47" s="769"/>
      <c r="V47" s="769"/>
      <c r="W47" s="769"/>
      <c r="X47" s="769"/>
      <c r="Y47" s="769"/>
    </row>
    <row r="48" spans="1:25" ht="15.75" customHeight="1" x14ac:dyDescent="0.25">
      <c r="A48" s="774" t="s">
        <v>267</v>
      </c>
      <c r="B48" s="771"/>
      <c r="C48" s="773" t="s">
        <v>441</v>
      </c>
      <c r="D48" s="517"/>
      <c r="E48" s="517"/>
      <c r="F48" s="517"/>
      <c r="G48" s="517"/>
      <c r="H48" s="517"/>
      <c r="I48" s="517"/>
      <c r="J48" s="517"/>
      <c r="K48" s="517"/>
      <c r="L48" s="517"/>
      <c r="M48" s="517"/>
      <c r="N48" s="36">
        <f t="shared" si="0"/>
        <v>0</v>
      </c>
      <c r="O48" s="800">
        <f>D48+D49+M82</f>
        <v>0</v>
      </c>
      <c r="P48" s="800">
        <f>O48+(E48+E49)</f>
        <v>0</v>
      </c>
      <c r="Q48" s="800">
        <f t="shared" ref="Q48:X48" si="12">(F48+F49)+P48</f>
        <v>0</v>
      </c>
      <c r="R48" s="800">
        <f t="shared" si="12"/>
        <v>0</v>
      </c>
      <c r="S48" s="800">
        <f t="shared" si="12"/>
        <v>0</v>
      </c>
      <c r="T48" s="800">
        <f t="shared" si="12"/>
        <v>0</v>
      </c>
      <c r="U48" s="800">
        <f t="shared" si="12"/>
        <v>0</v>
      </c>
      <c r="V48" s="800">
        <f t="shared" si="12"/>
        <v>0</v>
      </c>
      <c r="W48" s="800">
        <f t="shared" si="12"/>
        <v>0</v>
      </c>
      <c r="X48" s="800">
        <f t="shared" si="12"/>
        <v>0</v>
      </c>
      <c r="Y48" s="769"/>
    </row>
    <row r="49" spans="1:25" ht="15.75" customHeight="1" x14ac:dyDescent="0.25">
      <c r="A49" s="772" t="s">
        <v>28</v>
      </c>
      <c r="B49" s="794"/>
      <c r="C49" s="770" t="s">
        <v>440</v>
      </c>
      <c r="D49" s="517"/>
      <c r="E49" s="517"/>
      <c r="F49" s="517"/>
      <c r="G49" s="517"/>
      <c r="H49" s="517"/>
      <c r="I49" s="517"/>
      <c r="J49" s="517"/>
      <c r="K49" s="517"/>
      <c r="L49" s="517"/>
      <c r="M49" s="517"/>
      <c r="N49" s="37">
        <f t="shared" si="0"/>
        <v>0</v>
      </c>
      <c r="O49" s="800"/>
      <c r="P49" s="800"/>
      <c r="Q49" s="800"/>
      <c r="R49" s="800"/>
      <c r="S49" s="800"/>
      <c r="T49" s="800"/>
      <c r="U49" s="800"/>
      <c r="V49" s="800"/>
      <c r="W49" s="800"/>
      <c r="X49" s="800"/>
      <c r="Y49" s="769"/>
    </row>
    <row r="50" spans="1:25" ht="15.75" customHeight="1" x14ac:dyDescent="0.25">
      <c r="A50" s="768"/>
      <c r="B50" s="767"/>
      <c r="C50" s="766" t="str">
        <f>+C47</f>
        <v>Adjustments to F&amp;A calculation:</v>
      </c>
      <c r="D50" s="32">
        <f>(MIN(0,IF(SUBLIMIT-((D48+D49)+M82)&lt;((D48+D49)-2*(D48+D49)),((D48+D49)-2*(D48+D49)),(SUBLIMIT-((D48+D49)+M82)))))</f>
        <v>0</v>
      </c>
      <c r="E50" s="32">
        <f>IF(AND($E$8&gt;1,(E48+E49)&gt;0),IF(L_TWOSUM&lt;SUBLIMIT,0,IF(AND(L_TWOSUM&gt;SUBLIMIT,(D48+D49)&gt;SUBLIMIT),-(E48+E49),SUBLIMIT-L_TWOSUM-D50)),0)</f>
        <v>0</v>
      </c>
      <c r="F50" s="32">
        <f>IF(AND($E$8&gt;2,(F48+F49)&gt;0),IF(L_THREESUM&lt;SUBLIMIT,0,IF(AND(L_THREESUM&gt;SUBLIMIT,L_TWOSUM&gt;SUBLIMIT),-(F48+F49),SUBLIMIT-L_THREESUM)),0)</f>
        <v>0</v>
      </c>
      <c r="G50" s="32">
        <f>IF(AND($E$8&gt;3,(G48+G49)&gt;0),IF(L_FOURSUM&lt;SUBLIMIT,0,IF(AND(L_FOURSUM&gt;SUBLIMIT,L_THREESUM&gt;SUBLIMIT),-(G48+G49),SUBLIMIT-L_FOURSUM)),0)</f>
        <v>0</v>
      </c>
      <c r="H50" s="32">
        <f>IF(AND($E$8&gt;4,(H48+H49)&gt;0),IF(L_FIVESUM&lt;SUBLIMIT,0,IF(AND(L_FIVESUM&gt;SUBLIMIT,L_FOURSUM&gt;SUBLIMIT),-(H48+H49),SUBLIMIT-L_FIVESUM)),0)</f>
        <v>0</v>
      </c>
      <c r="I50" s="32">
        <f>IF(AND($E$8&gt;5,(I48+I49)&gt;0),IF(L_SIXSUM&lt;SUBLIMIT,0,IF(AND(L_SIXSUM&gt;SUBLIMIT,L_FIVESUM&gt;SUBLIMIT),-(I48+I49),SUBLIMIT-L_SIXSUM)),0)</f>
        <v>0</v>
      </c>
      <c r="J50" s="32">
        <f>IF(AND($E$8&gt;1,(J48+J49)&gt;0),IF(L_SEVENSUM&lt;SUBLIMIT,0,IF(AND(L_SEVENSUM&gt;SUBLIMIT,L_SIXSUM&gt;SUBLIMIT),-(J48+J49),SUBLIMIT-L_SEVENSUM)),0)</f>
        <v>0</v>
      </c>
      <c r="K50" s="32">
        <f>IF(AND($E$8&gt;1,(K48+K49)&gt;0),IF(L_EIGHTSUM&lt;SUBLIMIT,0,IF(AND(L_EIGHTSUM&gt;SUBLIMIT,L_SEVENSUM&gt;SUBLIMIT),-(K48+K49),SUBLIMIT-L_EIGHTSUM)),0)</f>
        <v>0</v>
      </c>
      <c r="L50" s="32">
        <f>IF(AND($E$8&gt;1,(L48+L49)&gt;0),IF(L_NINESUM&lt;SUBLIMIT,0,IF(AND(L_NINESUM&gt;SUBLIMIT,L_EIGHTSUM&gt;SUBLIMIT),-(L48+L49),SUBLIMIT-L_NINESUM)),0)</f>
        <v>0</v>
      </c>
      <c r="M50" s="32">
        <f>IF(AND($E$8&gt;1,(M48+M49)&gt;0),IF(L_TENSUM&lt;SUBLIMIT,0,IF(AND(L_TENSUM&gt;SUBLIMIT,L_NINESUM&gt;SUBLIMIT),-(M48+M49),SUBLIMIT-L_TENSUM)),0)</f>
        <v>0</v>
      </c>
      <c r="N50" s="37">
        <f t="shared" si="0"/>
        <v>0</v>
      </c>
      <c r="O50" s="800"/>
      <c r="P50" s="800"/>
      <c r="Q50" s="800"/>
      <c r="R50" s="800"/>
      <c r="S50" s="800"/>
      <c r="T50" s="769"/>
      <c r="U50" s="769"/>
      <c r="V50" s="769"/>
      <c r="W50" s="769"/>
      <c r="X50" s="769"/>
      <c r="Y50" s="769"/>
    </row>
    <row r="51" spans="1:25" ht="15.75" customHeight="1" x14ac:dyDescent="0.25">
      <c r="A51" s="774" t="s">
        <v>368</v>
      </c>
      <c r="B51" s="771"/>
      <c r="C51" s="773" t="s">
        <v>441</v>
      </c>
      <c r="D51" s="517"/>
      <c r="E51" s="517"/>
      <c r="F51" s="517"/>
      <c r="G51" s="517"/>
      <c r="H51" s="517"/>
      <c r="I51" s="517"/>
      <c r="J51" s="517"/>
      <c r="K51" s="517"/>
      <c r="L51" s="517"/>
      <c r="M51" s="517"/>
      <c r="N51" s="36">
        <f t="shared" si="0"/>
        <v>0</v>
      </c>
      <c r="O51" s="800">
        <f>D51+D52+M83</f>
        <v>0</v>
      </c>
      <c r="P51" s="800">
        <f>O51+(E51+E52)</f>
        <v>0</v>
      </c>
      <c r="Q51" s="800">
        <f t="shared" ref="Q51:X51" si="13">(F51+F52)+P51</f>
        <v>0</v>
      </c>
      <c r="R51" s="800">
        <f t="shared" si="13"/>
        <v>0</v>
      </c>
      <c r="S51" s="800">
        <f t="shared" si="13"/>
        <v>0</v>
      </c>
      <c r="T51" s="800">
        <f t="shared" si="13"/>
        <v>0</v>
      </c>
      <c r="U51" s="800">
        <f t="shared" si="13"/>
        <v>0</v>
      </c>
      <c r="V51" s="800">
        <f t="shared" si="13"/>
        <v>0</v>
      </c>
      <c r="W51" s="800">
        <f t="shared" si="13"/>
        <v>0</v>
      </c>
      <c r="X51" s="800">
        <f t="shared" si="13"/>
        <v>0</v>
      </c>
      <c r="Y51" s="769"/>
    </row>
    <row r="52" spans="1:25" ht="15.75" customHeight="1" x14ac:dyDescent="0.25">
      <c r="A52" s="772" t="s">
        <v>28</v>
      </c>
      <c r="B52" s="794"/>
      <c r="C52" s="770" t="s">
        <v>440</v>
      </c>
      <c r="D52" s="517"/>
      <c r="E52" s="517"/>
      <c r="F52" s="517"/>
      <c r="G52" s="517"/>
      <c r="H52" s="517"/>
      <c r="I52" s="517"/>
      <c r="J52" s="517"/>
      <c r="K52" s="517"/>
      <c r="L52" s="517"/>
      <c r="M52" s="517"/>
      <c r="N52" s="37">
        <f t="shared" si="0"/>
        <v>0</v>
      </c>
      <c r="O52" s="800"/>
      <c r="P52" s="800"/>
      <c r="Q52" s="800"/>
      <c r="R52" s="800"/>
      <c r="S52" s="800"/>
      <c r="T52" s="800"/>
      <c r="U52" s="800"/>
      <c r="V52" s="800"/>
      <c r="W52" s="800"/>
      <c r="X52" s="800"/>
      <c r="Y52" s="769"/>
    </row>
    <row r="53" spans="1:25" ht="15.75" customHeight="1" x14ac:dyDescent="0.25">
      <c r="A53" s="768"/>
      <c r="B53" s="767"/>
      <c r="C53" s="766" t="str">
        <f>+C50</f>
        <v>Adjustments to F&amp;A calculation:</v>
      </c>
      <c r="D53" s="32">
        <f>(MIN(0,IF(SUBLIMIT-((D51+D52)+M83)&lt;((D51+D52)-2*(D51+D52)),((D51+D52)-2*(D51+D52)),(SUBLIMIT-((D51+D52)+M83)))))</f>
        <v>0</v>
      </c>
      <c r="E53" s="32">
        <f>IF(AND($E$8&gt;1,(E51+E52)&gt;0),IF(M_TWOSUM&lt;SUBLIMIT,0,IF(AND(M_TWOSUM&gt;SUBLIMIT,(D51+D52)&gt;SUBLIMIT),-(E51+E52),SUBLIMIT-M_TWOSUM-D53)),0)</f>
        <v>0</v>
      </c>
      <c r="F53" s="32">
        <f>IF(AND($E$8&gt;2,(F51+F52)&gt;0),IF(M_THREESUM&lt;SUBLIMIT,0,IF(AND(M_THREESUM&gt;SUBLIMIT,M_TWOSUM&gt;SUBLIMIT),-(F51+F52),SUBLIMIT-M_THREESUM)),0)</f>
        <v>0</v>
      </c>
      <c r="G53" s="32">
        <f>IF(AND($E$8&gt;3,(G51+G52)&gt;0),IF(M_FOURSUM&lt;SUBLIMIT,0,IF(AND(M_FOURSUM&gt;SUBLIMIT,M_THREESUM&gt;SUBLIMIT),-(G51+G52),SUBLIMIT-M_FOURSUM)),0)</f>
        <v>0</v>
      </c>
      <c r="H53" s="32">
        <f>IF(AND($E$8&gt;4,(H51+H52)&gt;0),IF(M_FIVESUM&lt;SUBLIMIT,0,IF(AND(M_FIVESUM&gt;SUBLIMIT,M_FOURSUM&gt;SUBLIMIT),-(H51+H52),SUBLIMIT-M_FIVESUM)),0)</f>
        <v>0</v>
      </c>
      <c r="I53" s="32">
        <f>IF(AND($E$8&gt;5,(I51+I52)&gt;0),IF(M_SIXSUM&lt;SUBLIMIT,0,IF(AND(M_SIXSUM&gt;SUBLIMIT,M_FIVESUM&gt;SUBLIMIT),-(I51+I52),SUBLIMIT-M_SIXSUM)),0)</f>
        <v>0</v>
      </c>
      <c r="J53" s="32">
        <f>IF(AND($E$8&gt;1,(J51+J52)&gt;0),IF(M_SEVENSUM&lt;SUBLIMIT,0,IF(AND(M_SEVENSUM&gt;SUBLIMIT,M_SIXSUM&gt;SUBLIMIT),-(J51+J52),SUBLIMIT-M_SEVENSUM)),0)</f>
        <v>0</v>
      </c>
      <c r="K53" s="32">
        <f>IF(AND($E$8&gt;1,(K51+K52)&gt;0),IF(M_EIGHTSUM&lt;SUBLIMIT,0,IF(AND(M_EIGHTSUM&gt;SUBLIMIT,M_SEVENSUM&gt;SUBLIMIT),-(K51+K52),SUBLIMIT-M_EIGHTSUM)),0)</f>
        <v>0</v>
      </c>
      <c r="L53" s="32">
        <f>IF(AND($E$8&gt;1,(L51+L52)&gt;0),IF(M_NINESUM&lt;SUBLIMIT,0,IF(AND(M_NINESUM&gt;SUBLIMIT,M_EIGHTSUM&gt;SUBLIMIT),-(L51+L52),SUBLIMIT-M_NINESUM)),0)</f>
        <v>0</v>
      </c>
      <c r="M53" s="32">
        <f>IF(AND($E$8&gt;1,(M51+M52)&gt;0),IF(M_TENSUM&lt;SUBLIMIT,0,IF(AND(M_TENSUM&gt;SUBLIMIT,M_NINESUM&gt;SUBLIMIT),-(M51+M52),SUBLIMIT-M_TENSUM)),0)</f>
        <v>0</v>
      </c>
      <c r="N53" s="37">
        <f t="shared" si="0"/>
        <v>0</v>
      </c>
      <c r="O53" s="800"/>
      <c r="P53" s="800"/>
      <c r="Q53" s="800"/>
      <c r="R53" s="800"/>
      <c r="S53" s="800"/>
      <c r="T53" s="769"/>
      <c r="U53" s="769"/>
      <c r="V53" s="769"/>
      <c r="W53" s="769"/>
      <c r="X53" s="769"/>
      <c r="Y53" s="769"/>
    </row>
    <row r="54" spans="1:25" ht="15.75" customHeight="1" x14ac:dyDescent="0.25">
      <c r="A54" s="774" t="s">
        <v>369</v>
      </c>
      <c r="B54" s="771"/>
      <c r="C54" s="773" t="s">
        <v>441</v>
      </c>
      <c r="D54" s="517"/>
      <c r="E54" s="517"/>
      <c r="F54" s="517"/>
      <c r="G54" s="517"/>
      <c r="H54" s="517"/>
      <c r="I54" s="517"/>
      <c r="J54" s="517"/>
      <c r="K54" s="517"/>
      <c r="L54" s="517"/>
      <c r="M54" s="517"/>
      <c r="N54" s="36">
        <f t="shared" si="0"/>
        <v>0</v>
      </c>
      <c r="O54" s="800">
        <f>D54+D55+M84</f>
        <v>0</v>
      </c>
      <c r="P54" s="800">
        <f>O54+(E54+E55)</f>
        <v>0</v>
      </c>
      <c r="Q54" s="800">
        <f t="shared" ref="Q54:X54" si="14">(F54+F55)+P54</f>
        <v>0</v>
      </c>
      <c r="R54" s="800">
        <f t="shared" si="14"/>
        <v>0</v>
      </c>
      <c r="S54" s="800">
        <f t="shared" si="14"/>
        <v>0</v>
      </c>
      <c r="T54" s="800">
        <f t="shared" si="14"/>
        <v>0</v>
      </c>
      <c r="U54" s="800">
        <f t="shared" si="14"/>
        <v>0</v>
      </c>
      <c r="V54" s="800">
        <f t="shared" si="14"/>
        <v>0</v>
      </c>
      <c r="W54" s="800">
        <f t="shared" si="14"/>
        <v>0</v>
      </c>
      <c r="X54" s="800">
        <f t="shared" si="14"/>
        <v>0</v>
      </c>
      <c r="Y54" s="769"/>
    </row>
    <row r="55" spans="1:25" ht="15.75" customHeight="1" x14ac:dyDescent="0.25">
      <c r="A55" s="772" t="s">
        <v>28</v>
      </c>
      <c r="B55" s="794"/>
      <c r="C55" s="770" t="s">
        <v>440</v>
      </c>
      <c r="D55" s="517"/>
      <c r="E55" s="517"/>
      <c r="F55" s="517"/>
      <c r="G55" s="517"/>
      <c r="H55" s="517"/>
      <c r="I55" s="517"/>
      <c r="J55" s="517"/>
      <c r="K55" s="517"/>
      <c r="L55" s="517"/>
      <c r="M55" s="517"/>
      <c r="N55" s="37">
        <f t="shared" si="0"/>
        <v>0</v>
      </c>
      <c r="O55" s="800"/>
      <c r="P55" s="800"/>
      <c r="Q55" s="800"/>
      <c r="R55" s="800"/>
      <c r="S55" s="800"/>
      <c r="T55" s="800"/>
      <c r="U55" s="800"/>
      <c r="V55" s="800"/>
      <c r="W55" s="800"/>
      <c r="X55" s="800"/>
      <c r="Y55" s="769"/>
    </row>
    <row r="56" spans="1:25" ht="15.75" customHeight="1" x14ac:dyDescent="0.25">
      <c r="A56" s="768"/>
      <c r="B56" s="767"/>
      <c r="C56" s="766" t="str">
        <f>+C53</f>
        <v>Adjustments to F&amp;A calculation:</v>
      </c>
      <c r="D56" s="32">
        <f>(MIN(0,IF(SUBLIMIT-((D54+D55)+M84)&lt;((D54+D55)-2*(D54+D55)),((D54+D55)-2*(D54+D55)),(SUBLIMIT-((D54+D55)+M84)))))</f>
        <v>0</v>
      </c>
      <c r="E56" s="32">
        <f>IF(AND($E$8&gt;1,(E54+E55)&gt;0),IF(N_TWOSUM&lt;SUBLIMIT,0,IF(AND(N_TWOSUM&gt;SUBLIMIT,(D54+D55)&gt;SUBLIMIT),-(E54+E55),SUBLIMIT-N_TWOSUM-D56)),0)</f>
        <v>0</v>
      </c>
      <c r="F56" s="32">
        <f>IF(AND($E$8&gt;2,(F54+F55)&gt;0),IF(N_THREESUM&lt;SUBLIMIT,0,IF(AND(N_THREESUM&gt;SUBLIMIT,N_TWOSUM&gt;SUBLIMIT),-(F54+F55),SUBLIMIT-N_THREESUM)),0)</f>
        <v>0</v>
      </c>
      <c r="G56" s="32">
        <f>IF(AND($E$8&gt;3,(G54+G55)&gt;0),IF(N_FOURSUM&lt;SUBLIMIT,0,IF(AND(N_FOURSUM&gt;SUBLIMIT,N_THREESUM&gt;SUBLIMIT),-(G54+G55),SUBLIMIT-N_FOURSUM)),0)</f>
        <v>0</v>
      </c>
      <c r="H56" s="32">
        <f>IF(AND($E$8&gt;4,(H54+H55)&gt;0),IF(N_FIVESUM&lt;SUBLIMIT,0,IF(AND(N_FIVESUM&gt;SUBLIMIT,N_FOURSUM&gt;SUBLIMIT),-(H54+H55),SUBLIMIT-N_FIVESUM)),0)</f>
        <v>0</v>
      </c>
      <c r="I56" s="32">
        <f>IF(AND($E$8&gt;5,(I54+I55)&gt;0),IF(N_SIXSUM&lt;SUBLIMIT,0,IF(AND(N_SIXSUM&gt;SUBLIMIT,N_FIVESUM&gt;SUBLIMIT),-(I54+I55),SUBLIMIT-N_SIXSUM)),0)</f>
        <v>0</v>
      </c>
      <c r="J56" s="32">
        <f>IF(AND($E$8&gt;1,(J54+J55)&gt;0),IF(N_SEVENSUM&lt;SUBLIMIT,0,IF(AND(N_SEVENSUM&gt;SUBLIMIT,N_SIXSUM&gt;SUBLIMIT),-(J54+J55),SUBLIMIT-N_SEVENSUM)),0)</f>
        <v>0</v>
      </c>
      <c r="K56" s="32">
        <f>IF(AND($E$8&gt;1,(K54+K55)&gt;0),IF(N_EIGHTSUM&lt;SUBLIMIT,0,IF(AND(N_EIGHTSUM&gt;SUBLIMIT,N_SEVENSUM&gt;SUBLIMIT),-(K54+K55),SUBLIMIT-N_EIGHTSUM)),0)</f>
        <v>0</v>
      </c>
      <c r="L56" s="32">
        <f>IF(AND($E$8&gt;1,(L54+L55)&gt;0),IF(N_NINESUM&lt;SUBLIMIT,0,IF(AND(N_NINESUM&gt;SUBLIMIT,N_EIGHTSUM&gt;SUBLIMIT),-(L54+L55),SUBLIMIT-N_NINESUM)),0)</f>
        <v>0</v>
      </c>
      <c r="M56" s="32">
        <f>IF(AND($E$8&gt;1,(M54+M55)&gt;0),IF(N_TENSUM&lt;SUBLIMIT,0,IF(AND(N_TENSUM&gt;SUBLIMIT,N_NINESUM&gt;SUBLIMIT),-(M54+M55),SUBLIMIT-N_TENSUM)),0)</f>
        <v>0</v>
      </c>
      <c r="N56" s="37">
        <f t="shared" si="0"/>
        <v>0</v>
      </c>
      <c r="O56" s="800"/>
      <c r="P56" s="800"/>
      <c r="Q56" s="800"/>
      <c r="R56" s="800"/>
      <c r="S56" s="800"/>
      <c r="T56" s="769"/>
      <c r="U56" s="769"/>
      <c r="V56" s="769"/>
      <c r="W56" s="769"/>
      <c r="X56" s="769"/>
      <c r="Y56" s="769"/>
    </row>
    <row r="57" spans="1:25" ht="15.75" customHeight="1" x14ac:dyDescent="0.25">
      <c r="A57" s="774" t="s">
        <v>268</v>
      </c>
      <c r="B57" s="771"/>
      <c r="C57" s="773" t="s">
        <v>441</v>
      </c>
      <c r="D57" s="517"/>
      <c r="E57" s="517"/>
      <c r="F57" s="517"/>
      <c r="G57" s="517"/>
      <c r="H57" s="517"/>
      <c r="I57" s="517"/>
      <c r="J57" s="517"/>
      <c r="K57" s="517"/>
      <c r="L57" s="517"/>
      <c r="M57" s="517"/>
      <c r="N57" s="36">
        <f t="shared" si="0"/>
        <v>0</v>
      </c>
      <c r="O57" s="800">
        <f>D57+D58+M85</f>
        <v>0</v>
      </c>
      <c r="P57" s="800">
        <f>O57+(E57+E58)</f>
        <v>0</v>
      </c>
      <c r="Q57" s="800">
        <f t="shared" ref="Q57:X57" si="15">(F57+F58)+P57</f>
        <v>0</v>
      </c>
      <c r="R57" s="800">
        <f t="shared" si="15"/>
        <v>0</v>
      </c>
      <c r="S57" s="800">
        <f t="shared" si="15"/>
        <v>0</v>
      </c>
      <c r="T57" s="800">
        <f t="shared" si="15"/>
        <v>0</v>
      </c>
      <c r="U57" s="800">
        <f t="shared" si="15"/>
        <v>0</v>
      </c>
      <c r="V57" s="800">
        <f t="shared" si="15"/>
        <v>0</v>
      </c>
      <c r="W57" s="800">
        <f t="shared" si="15"/>
        <v>0</v>
      </c>
      <c r="X57" s="800">
        <f t="shared" si="15"/>
        <v>0</v>
      </c>
      <c r="Y57" s="769"/>
    </row>
    <row r="58" spans="1:25" ht="15.75" customHeight="1" x14ac:dyDescent="0.25">
      <c r="A58" s="772" t="s">
        <v>28</v>
      </c>
      <c r="B58" s="794"/>
      <c r="C58" s="770" t="s">
        <v>440</v>
      </c>
      <c r="D58" s="517"/>
      <c r="E58" s="517"/>
      <c r="F58" s="517"/>
      <c r="G58" s="517"/>
      <c r="H58" s="517"/>
      <c r="I58" s="517"/>
      <c r="J58" s="517"/>
      <c r="K58" s="517"/>
      <c r="L58" s="517"/>
      <c r="M58" s="517"/>
      <c r="N58" s="37">
        <f t="shared" si="0"/>
        <v>0</v>
      </c>
      <c r="O58" s="793"/>
      <c r="P58" s="793"/>
      <c r="Q58" s="793"/>
      <c r="R58" s="793"/>
      <c r="S58" s="793"/>
      <c r="T58" s="793"/>
      <c r="U58" s="793"/>
      <c r="V58" s="793"/>
      <c r="W58" s="793"/>
      <c r="X58" s="793"/>
      <c r="Y58" s="769"/>
    </row>
    <row r="59" spans="1:25" ht="15.75" customHeight="1" x14ac:dyDescent="0.25">
      <c r="A59" s="768"/>
      <c r="B59" s="767"/>
      <c r="C59" s="766" t="s">
        <v>192</v>
      </c>
      <c r="D59" s="32">
        <f>(MIN(0,IF(SUBLIMIT-((D57+D58)+M85)&lt;((D57+D58)-2*(D57+D58)),((D57+D58)-2*(D57+D58)),(SUBLIMIT-((D57+D58)+M84)))))</f>
        <v>0</v>
      </c>
      <c r="E59" s="32">
        <f>IF(AND($E$8&gt;1,(E57+E58)&gt;0),IF(O_TWOSUM&lt;SUBLIMIT,0,IF(AND(O_TWOSUM&gt;SUBLIMIT,(D57+D58)&gt;SUBLIMIT),-(E57+E58),SUBLIMIT-O_TWOSUM-D59)),0)</f>
        <v>0</v>
      </c>
      <c r="F59" s="32">
        <f>IF(AND($E$8&gt;2,(F57+F58)&gt;0),IF(O_THREESUM&lt;SUBLIMIT,0,IF(AND(O_THREESUM&gt;SUBLIMIT,O_TWOSUM&gt;SUBLIMIT),-(F57+F58),SUBLIMIT-O_THREESUM)),0)</f>
        <v>0</v>
      </c>
      <c r="G59" s="32">
        <f>IF(AND($E$8&gt;3,(G57+G58)&gt;0),IF(O_FOURSUM&lt;SUBLIMIT,0,IF(AND(O_FOURSUM&gt;SUBLIMIT,O_THREESUM&gt;SUBLIMIT),-(G57+G58),SUBLIMIT-O_FOURSUM)),0)</f>
        <v>0</v>
      </c>
      <c r="H59" s="32">
        <f>IF(AND($E$8&gt;4,(H57+H58)&gt;0),IF(O_FIVESUM&lt;SUBLIMIT,0,IF(AND(O_FIVESUM&gt;SUBLIMIT,O_FOURSUM&gt;SUBLIMIT),-(H57+H58),SUBLIMIT-O_FIVESUM)),0)</f>
        <v>0</v>
      </c>
      <c r="I59" s="32">
        <f>IF(AND($E$8&gt;5,(I57+I58)&gt;0),IF(O_SIXSUM&lt;SUBLIMIT,0,IF(AND(O_SIXSUM&gt;SUBLIMIT,O_FIVESUM&gt;SUBLIMIT),-(I57+I58),SUBLIMIT-O_SIXSUM)),0)</f>
        <v>0</v>
      </c>
      <c r="J59" s="32">
        <f>IF(AND($E$8&gt;1,(J57+J58)&gt;0),IF(O_SEVENSUM&lt;SUBLIMIT,0,IF(AND(O_SEVENSUM&gt;SUBLIMIT,O_SIXSUM&gt;SUBLIMIT),-(J57+J58),SUBLIMIT-O_SEVENSUM)),0)</f>
        <v>0</v>
      </c>
      <c r="K59" s="32">
        <f>IF(AND($E$8&gt;1,(K57+K58)&gt;0),IF(O_EIGHTSUM&lt;SUBLIMIT,0,IF(AND(O_EIGHTSUM&gt;SUBLIMIT,O_SEVENSUM&gt;SUBLIMIT),-(K57+K58),SUBLIMIT-O_EIGHTSUM)),0)</f>
        <v>0</v>
      </c>
      <c r="L59" s="32">
        <f>IF(AND($E$8&gt;1,(L57+L58)&gt;0),IF(O_NINESUM&lt;SUBLIMIT,0,IF(AND(O_NINESUM&gt;SUBLIMIT,O_EIGHTSUM&gt;SUBLIMIT),-(L57+L58),SUBLIMIT-O_NINESUM)),0)</f>
        <v>0</v>
      </c>
      <c r="M59" s="32">
        <f>IF(AND($E$8&gt;1,(M57+M58)&gt;0),IF(O_TENSUM&lt;SUBLIMIT,0,IF(AND(O_TENSUM&gt;SUBLIMIT,O_NINESUM&gt;SUBLIMIT),-(M57+M58),SUBLIMIT-O_TENSUM)),0)</f>
        <v>0</v>
      </c>
      <c r="N59" s="37">
        <f t="shared" si="0"/>
        <v>0</v>
      </c>
      <c r="O59" s="793"/>
      <c r="P59" s="793"/>
      <c r="Q59" s="793"/>
      <c r="R59" s="793"/>
      <c r="S59" s="793"/>
      <c r="T59" s="792"/>
      <c r="U59" s="792"/>
      <c r="V59" s="792"/>
      <c r="W59" s="792"/>
      <c r="X59" s="792"/>
    </row>
    <row r="60" spans="1:25" ht="15.75" customHeight="1" x14ac:dyDescent="0.25">
      <c r="A60" s="765"/>
      <c r="B60" s="765"/>
      <c r="C60" s="764"/>
      <c r="D60" s="553"/>
      <c r="E60" s="553"/>
      <c r="F60" s="553"/>
      <c r="G60" s="553"/>
      <c r="H60" s="553"/>
      <c r="I60" s="553"/>
      <c r="J60" s="553"/>
      <c r="K60" s="553"/>
      <c r="L60" s="553"/>
      <c r="M60" s="553"/>
      <c r="N60" s="37"/>
      <c r="O60" s="793"/>
      <c r="P60" s="793"/>
      <c r="Q60" s="793"/>
      <c r="R60" s="793"/>
      <c r="S60" s="793"/>
      <c r="T60" s="792"/>
      <c r="U60" s="792"/>
      <c r="V60" s="792"/>
      <c r="W60" s="792"/>
      <c r="X60" s="792"/>
    </row>
    <row r="61" spans="1:25" ht="15.75" customHeight="1" x14ac:dyDescent="0.25">
      <c r="A61" s="758"/>
      <c r="B61" s="758"/>
      <c r="C61" s="763" t="s">
        <v>218</v>
      </c>
      <c r="D61" s="33">
        <f t="shared" ref="D61:N61" si="16">D15+D18+D21+D24+D27+D30+D33+D36+D39+D42+D45+D48+D51+D54+D57</f>
        <v>0</v>
      </c>
      <c r="E61" s="33">
        <f t="shared" si="16"/>
        <v>0</v>
      </c>
      <c r="F61" s="33">
        <f t="shared" si="16"/>
        <v>0</v>
      </c>
      <c r="G61" s="33">
        <f t="shared" si="16"/>
        <v>0</v>
      </c>
      <c r="H61" s="33">
        <f t="shared" si="16"/>
        <v>0</v>
      </c>
      <c r="I61" s="33">
        <f t="shared" si="16"/>
        <v>0</v>
      </c>
      <c r="J61" s="33">
        <f t="shared" si="16"/>
        <v>0</v>
      </c>
      <c r="K61" s="33">
        <f t="shared" si="16"/>
        <v>0</v>
      </c>
      <c r="L61" s="33">
        <f t="shared" si="16"/>
        <v>0</v>
      </c>
      <c r="M61" s="33">
        <f t="shared" si="16"/>
        <v>0</v>
      </c>
      <c r="N61" s="33">
        <f t="shared" si="16"/>
        <v>0</v>
      </c>
      <c r="O61" s="793"/>
      <c r="P61" s="793"/>
      <c r="Q61" s="793"/>
      <c r="R61" s="793"/>
      <c r="S61" s="793"/>
      <c r="T61" s="792"/>
      <c r="U61" s="792"/>
      <c r="V61" s="792"/>
      <c r="W61" s="792"/>
      <c r="X61" s="792"/>
    </row>
    <row r="62" spans="1:25" ht="15.75" customHeight="1" x14ac:dyDescent="0.25">
      <c r="A62" s="758"/>
      <c r="B62" s="758"/>
      <c r="C62" s="763" t="s">
        <v>219</v>
      </c>
      <c r="D62" s="247">
        <f>SUM(D16+D19+D22+D25+D28+D31+D34+D37+D40+D43+D46+D49+D52+D55+D58)</f>
        <v>0</v>
      </c>
      <c r="E62" s="247">
        <f t="shared" ref="E62:M62" si="17">SUM(E16+E19+E22+E25+E28+E31+E34+E37+E40+E43+E46+E49+E52+E55+E58)</f>
        <v>0</v>
      </c>
      <c r="F62" s="247">
        <f t="shared" si="17"/>
        <v>0</v>
      </c>
      <c r="G62" s="247">
        <f t="shared" si="17"/>
        <v>0</v>
      </c>
      <c r="H62" s="247">
        <f t="shared" si="17"/>
        <v>0</v>
      </c>
      <c r="I62" s="247">
        <f t="shared" si="17"/>
        <v>0</v>
      </c>
      <c r="J62" s="247">
        <f t="shared" si="17"/>
        <v>0</v>
      </c>
      <c r="K62" s="247">
        <f t="shared" si="17"/>
        <v>0</v>
      </c>
      <c r="L62" s="247">
        <f t="shared" si="17"/>
        <v>0</v>
      </c>
      <c r="M62" s="247">
        <f t="shared" si="17"/>
        <v>0</v>
      </c>
      <c r="N62" s="247">
        <f>SUM(D62:M62)</f>
        <v>0</v>
      </c>
      <c r="O62" s="793"/>
      <c r="P62" s="793"/>
      <c r="Q62" s="793"/>
      <c r="R62" s="793"/>
      <c r="S62" s="793"/>
      <c r="T62" s="792"/>
      <c r="U62" s="792"/>
      <c r="V62" s="792"/>
      <c r="W62" s="792"/>
      <c r="X62" s="792"/>
    </row>
    <row r="63" spans="1:25" ht="15.75" customHeight="1" x14ac:dyDescent="0.25">
      <c r="A63" s="758"/>
      <c r="B63" s="758"/>
      <c r="C63" s="763" t="s">
        <v>191</v>
      </c>
      <c r="D63" s="32">
        <f t="shared" ref="D63:N63" si="18">D17+D20+D23+D26+D29+D32+D35+D38+D41+D44+D47+D50+D53+D56+D59</f>
        <v>0</v>
      </c>
      <c r="E63" s="32">
        <f t="shared" si="18"/>
        <v>0</v>
      </c>
      <c r="F63" s="32">
        <f t="shared" si="18"/>
        <v>0</v>
      </c>
      <c r="G63" s="32">
        <f t="shared" si="18"/>
        <v>0</v>
      </c>
      <c r="H63" s="32">
        <f t="shared" si="18"/>
        <v>0</v>
      </c>
      <c r="I63" s="32">
        <f t="shared" si="18"/>
        <v>0</v>
      </c>
      <c r="J63" s="32">
        <f t="shared" si="18"/>
        <v>0</v>
      </c>
      <c r="K63" s="32">
        <f t="shared" si="18"/>
        <v>0</v>
      </c>
      <c r="L63" s="32">
        <f t="shared" si="18"/>
        <v>0</v>
      </c>
      <c r="M63" s="32">
        <f t="shared" si="18"/>
        <v>0</v>
      </c>
      <c r="N63" s="32">
        <f t="shared" si="18"/>
        <v>0</v>
      </c>
      <c r="O63" s="793"/>
      <c r="P63" s="793"/>
      <c r="Q63" s="793"/>
      <c r="R63" s="793"/>
      <c r="S63" s="793"/>
      <c r="T63" s="792"/>
      <c r="U63" s="792"/>
      <c r="V63" s="792"/>
      <c r="W63" s="792"/>
      <c r="X63" s="792"/>
    </row>
    <row r="64" spans="1:25" x14ac:dyDescent="0.25">
      <c r="A64" s="758"/>
      <c r="B64" s="758"/>
      <c r="C64" s="758"/>
      <c r="D64" s="758"/>
      <c r="E64" s="758"/>
      <c r="F64" s="758"/>
      <c r="G64" s="758"/>
      <c r="H64" s="758"/>
      <c r="I64" s="758"/>
      <c r="J64" s="758"/>
      <c r="K64" s="758"/>
      <c r="L64" s="758"/>
      <c r="M64" s="758"/>
      <c r="N64" s="758"/>
      <c r="O64" s="792"/>
      <c r="P64" s="792"/>
      <c r="Q64" s="792"/>
      <c r="R64" s="792"/>
      <c r="S64" s="792"/>
      <c r="T64" s="792"/>
      <c r="U64" s="792"/>
      <c r="V64" s="792"/>
      <c r="W64" s="792"/>
      <c r="X64" s="792"/>
    </row>
    <row r="65" spans="1:24" x14ac:dyDescent="0.25">
      <c r="A65" s="758"/>
      <c r="B65" s="758"/>
      <c r="C65" s="758"/>
      <c r="D65" s="758"/>
      <c r="E65" s="758"/>
      <c r="F65" s="758"/>
      <c r="G65" s="758"/>
      <c r="H65" s="758"/>
      <c r="I65" s="758"/>
      <c r="J65" s="758"/>
      <c r="K65" s="758"/>
      <c r="L65" s="758"/>
      <c r="M65" s="758"/>
      <c r="N65" s="758"/>
      <c r="O65" s="792"/>
      <c r="P65" s="792"/>
      <c r="Q65" s="792"/>
      <c r="R65" s="792"/>
      <c r="S65" s="792"/>
      <c r="T65" s="792"/>
      <c r="U65" s="792"/>
      <c r="V65" s="792"/>
      <c r="W65" s="792"/>
      <c r="X65" s="792"/>
    </row>
    <row r="66" spans="1:24" x14ac:dyDescent="0.25">
      <c r="A66" s="758"/>
      <c r="B66" s="758"/>
      <c r="C66" s="758"/>
      <c r="D66" s="758"/>
      <c r="E66" s="758"/>
      <c r="F66" s="758"/>
      <c r="G66" s="758"/>
      <c r="H66" s="758"/>
      <c r="I66" s="758"/>
      <c r="J66" s="758"/>
      <c r="K66" s="758"/>
      <c r="L66" s="758"/>
      <c r="M66" s="758"/>
      <c r="N66" s="758"/>
      <c r="O66" s="792"/>
      <c r="P66" s="792"/>
      <c r="Q66" s="792"/>
      <c r="R66" s="792"/>
      <c r="S66" s="792"/>
      <c r="T66" s="792"/>
      <c r="U66" s="792"/>
      <c r="V66" s="792"/>
      <c r="W66" s="792"/>
      <c r="X66" s="792"/>
    </row>
    <row r="67" spans="1:24" ht="13" x14ac:dyDescent="0.3">
      <c r="A67" s="758"/>
      <c r="B67" s="758"/>
      <c r="C67" s="762" t="s">
        <v>105</v>
      </c>
      <c r="D67" s="758"/>
      <c r="E67" s="758"/>
      <c r="F67" s="758"/>
      <c r="G67" s="758"/>
      <c r="H67" s="758"/>
      <c r="I67" s="758"/>
      <c r="J67" s="758"/>
      <c r="K67" s="758"/>
      <c r="L67" s="758"/>
      <c r="M67" s="758"/>
      <c r="N67" s="758"/>
      <c r="O67" s="792"/>
      <c r="P67" s="792"/>
      <c r="Q67" s="792"/>
      <c r="R67" s="792"/>
      <c r="S67" s="792"/>
      <c r="T67" s="792"/>
      <c r="U67" s="792"/>
      <c r="V67" s="792"/>
      <c r="W67" s="792"/>
      <c r="X67" s="792"/>
    </row>
    <row r="68" spans="1:24" x14ac:dyDescent="0.25">
      <c r="A68" s="760" t="s">
        <v>106</v>
      </c>
      <c r="B68" s="760"/>
      <c r="C68" s="758" t="s">
        <v>107</v>
      </c>
      <c r="D68" s="758"/>
      <c r="E68" s="758"/>
      <c r="F68" s="758"/>
      <c r="G68" s="758"/>
      <c r="H68" s="758"/>
      <c r="I68" s="758"/>
      <c r="J68" s="758"/>
      <c r="K68" s="758"/>
      <c r="M68" s="761" t="s">
        <v>198</v>
      </c>
      <c r="N68" s="758"/>
      <c r="O68" s="792"/>
      <c r="P68" s="792"/>
      <c r="Q68" s="792"/>
      <c r="R68" s="792"/>
      <c r="S68" s="792"/>
      <c r="T68" s="792"/>
      <c r="U68" s="792"/>
      <c r="V68" s="792"/>
      <c r="W68" s="792"/>
      <c r="X68" s="792"/>
    </row>
    <row r="69" spans="1:24" x14ac:dyDescent="0.25">
      <c r="A69" s="758"/>
      <c r="B69" s="758"/>
      <c r="C69" s="758" t="s">
        <v>203</v>
      </c>
      <c r="D69" s="758"/>
      <c r="E69" s="758"/>
      <c r="F69" s="758"/>
      <c r="G69" s="758"/>
      <c r="H69" s="758"/>
      <c r="I69" s="758"/>
      <c r="J69" s="758"/>
      <c r="K69" s="758"/>
      <c r="M69" s="761" t="s">
        <v>190</v>
      </c>
      <c r="N69" s="758"/>
      <c r="O69" s="792"/>
      <c r="P69" s="792"/>
      <c r="Q69" s="792"/>
      <c r="R69" s="792"/>
      <c r="S69" s="792"/>
      <c r="T69" s="792"/>
      <c r="U69" s="792"/>
      <c r="V69" s="792"/>
      <c r="W69" s="792"/>
      <c r="X69" s="792"/>
    </row>
    <row r="70" spans="1:24" x14ac:dyDescent="0.25">
      <c r="A70" s="758"/>
      <c r="B70" s="758"/>
      <c r="C70" s="758" t="s">
        <v>199</v>
      </c>
      <c r="D70" s="758"/>
      <c r="E70" s="758"/>
      <c r="F70" s="758"/>
      <c r="G70" s="758"/>
      <c r="H70" s="758"/>
      <c r="I70" s="758"/>
      <c r="J70" s="758"/>
      <c r="K70" s="758"/>
      <c r="L70" s="758"/>
      <c r="M70" s="758"/>
      <c r="N70" s="758"/>
      <c r="O70" s="792"/>
      <c r="P70" s="792"/>
      <c r="Q70" s="792"/>
      <c r="R70" s="792"/>
      <c r="S70" s="792"/>
      <c r="T70" s="792"/>
      <c r="U70" s="792"/>
      <c r="V70" s="792"/>
      <c r="W70" s="792"/>
      <c r="X70" s="792"/>
    </row>
    <row r="71" spans="1:24" x14ac:dyDescent="0.25">
      <c r="A71" s="760" t="s">
        <v>108</v>
      </c>
      <c r="B71" s="760"/>
      <c r="C71" s="758" t="s">
        <v>200</v>
      </c>
      <c r="D71" s="758"/>
      <c r="E71" s="758"/>
      <c r="F71" s="758"/>
      <c r="G71" s="758"/>
      <c r="H71" s="758"/>
      <c r="I71" s="758"/>
      <c r="J71" s="758"/>
      <c r="K71" s="758"/>
      <c r="L71" s="757" t="s">
        <v>56</v>
      </c>
      <c r="M71" s="756"/>
      <c r="N71" s="758"/>
      <c r="O71" s="792"/>
      <c r="P71" s="792"/>
      <c r="Q71" s="792"/>
      <c r="R71" s="792"/>
      <c r="S71" s="792"/>
      <c r="T71" s="792"/>
      <c r="U71" s="792"/>
      <c r="V71" s="792"/>
      <c r="W71" s="792"/>
      <c r="X71" s="792"/>
    </row>
    <row r="72" spans="1:24" x14ac:dyDescent="0.25">
      <c r="A72" s="757"/>
      <c r="B72" s="757"/>
      <c r="C72" s="758" t="s">
        <v>442</v>
      </c>
      <c r="D72" s="758"/>
      <c r="E72" s="758"/>
      <c r="F72" s="758"/>
      <c r="G72" s="758"/>
      <c r="H72" s="758"/>
      <c r="I72" s="758"/>
      <c r="J72" s="758"/>
      <c r="K72" s="758"/>
      <c r="L72" s="757" t="s">
        <v>100</v>
      </c>
      <c r="M72" s="756"/>
      <c r="N72" s="758"/>
      <c r="O72" s="792"/>
      <c r="P72" s="792"/>
      <c r="Q72" s="792"/>
      <c r="R72" s="792"/>
      <c r="S72" s="792"/>
      <c r="T72" s="792"/>
      <c r="U72" s="792"/>
      <c r="V72" s="792"/>
      <c r="W72" s="792"/>
      <c r="X72" s="792"/>
    </row>
    <row r="73" spans="1:24" x14ac:dyDescent="0.25">
      <c r="A73" s="758"/>
      <c r="B73" s="758"/>
      <c r="C73" s="758" t="s">
        <v>443</v>
      </c>
      <c r="D73" s="758"/>
      <c r="E73" s="758"/>
      <c r="F73" s="758"/>
      <c r="G73" s="758"/>
      <c r="H73" s="758"/>
      <c r="I73" s="758"/>
      <c r="J73" s="758"/>
      <c r="K73" s="758"/>
      <c r="L73" s="757" t="s">
        <v>101</v>
      </c>
      <c r="M73" s="756"/>
      <c r="N73" s="758"/>
      <c r="O73" s="792"/>
      <c r="P73" s="792"/>
      <c r="Q73" s="792"/>
      <c r="R73" s="792"/>
      <c r="S73" s="792"/>
      <c r="T73" s="792"/>
      <c r="U73" s="792"/>
      <c r="V73" s="792"/>
      <c r="W73" s="792"/>
      <c r="X73" s="792"/>
    </row>
    <row r="74" spans="1:24" x14ac:dyDescent="0.25">
      <c r="A74" s="758"/>
      <c r="B74" s="758"/>
      <c r="C74" s="758" t="s">
        <v>444</v>
      </c>
      <c r="D74" s="758"/>
      <c r="E74" s="758"/>
      <c r="F74" s="758"/>
      <c r="G74" s="758"/>
      <c r="H74" s="758"/>
      <c r="I74" s="758"/>
      <c r="J74" s="758"/>
      <c r="K74" s="758"/>
      <c r="L74" s="757" t="s">
        <v>102</v>
      </c>
      <c r="M74" s="756"/>
      <c r="N74" s="758"/>
      <c r="O74" s="792"/>
      <c r="P74" s="792"/>
      <c r="Q74" s="792"/>
      <c r="R74" s="792"/>
      <c r="S74" s="792"/>
      <c r="T74" s="792"/>
      <c r="U74" s="792"/>
      <c r="V74" s="792"/>
      <c r="W74" s="792"/>
      <c r="X74" s="792"/>
    </row>
    <row r="75" spans="1:24" x14ac:dyDescent="0.25">
      <c r="A75" s="758"/>
      <c r="B75" s="758"/>
      <c r="C75" s="758" t="s">
        <v>115</v>
      </c>
      <c r="D75" s="758"/>
      <c r="E75" s="758"/>
      <c r="F75" s="758"/>
      <c r="G75" s="758"/>
      <c r="H75" s="758"/>
      <c r="I75" s="758"/>
      <c r="J75" s="758"/>
      <c r="K75" s="758"/>
      <c r="L75" s="757" t="s">
        <v>103</v>
      </c>
      <c r="M75" s="756"/>
      <c r="N75" s="758"/>
      <c r="O75" s="792"/>
      <c r="P75" s="792"/>
      <c r="Q75" s="792"/>
      <c r="R75" s="792"/>
      <c r="S75" s="792"/>
      <c r="T75" s="792"/>
      <c r="U75" s="792"/>
      <c r="V75" s="792"/>
      <c r="W75" s="792"/>
      <c r="X75" s="792"/>
    </row>
    <row r="76" spans="1:24" x14ac:dyDescent="0.25">
      <c r="A76" s="758"/>
      <c r="B76" s="758"/>
      <c r="C76" s="758" t="s">
        <v>201</v>
      </c>
      <c r="D76" s="758"/>
      <c r="E76" s="758"/>
      <c r="F76" s="758"/>
      <c r="G76" s="758"/>
      <c r="H76" s="758"/>
      <c r="I76" s="758"/>
      <c r="J76" s="758"/>
      <c r="K76" s="758"/>
      <c r="L76" s="757" t="s">
        <v>57</v>
      </c>
      <c r="M76" s="756"/>
      <c r="N76" s="758"/>
      <c r="O76" s="792"/>
      <c r="P76" s="792"/>
      <c r="Q76" s="792"/>
      <c r="R76" s="792"/>
      <c r="S76" s="792"/>
      <c r="T76" s="792"/>
      <c r="U76" s="792"/>
      <c r="V76" s="792"/>
      <c r="W76" s="792"/>
      <c r="X76" s="792"/>
    </row>
    <row r="77" spans="1:24" x14ac:dyDescent="0.25">
      <c r="A77" s="758"/>
      <c r="B77" s="758"/>
      <c r="C77" s="758" t="s">
        <v>202</v>
      </c>
      <c r="D77" s="758"/>
      <c r="E77" s="758"/>
      <c r="F77" s="758"/>
      <c r="G77" s="758"/>
      <c r="H77" s="758"/>
      <c r="I77" s="758"/>
      <c r="J77" s="758"/>
      <c r="K77" s="758"/>
      <c r="L77" s="757" t="s">
        <v>104</v>
      </c>
      <c r="M77" s="756"/>
      <c r="N77" s="758"/>
      <c r="O77" s="792"/>
      <c r="P77" s="792"/>
      <c r="Q77" s="792"/>
      <c r="R77" s="792"/>
      <c r="S77" s="792"/>
      <c r="T77" s="792"/>
      <c r="U77" s="792"/>
      <c r="V77" s="792"/>
      <c r="W77" s="792"/>
      <c r="X77" s="792"/>
    </row>
    <row r="78" spans="1:24" x14ac:dyDescent="0.25">
      <c r="A78" s="758"/>
      <c r="B78" s="758"/>
      <c r="C78" s="758"/>
      <c r="D78" s="758"/>
      <c r="E78" s="758"/>
      <c r="F78" s="758"/>
      <c r="G78" s="758"/>
      <c r="H78" s="758"/>
      <c r="I78" s="758"/>
      <c r="J78" s="758"/>
      <c r="K78" s="758"/>
      <c r="L78" s="757" t="s">
        <v>364</v>
      </c>
      <c r="M78" s="756"/>
      <c r="N78" s="758"/>
      <c r="O78" s="792"/>
      <c r="P78" s="792"/>
      <c r="Q78" s="792"/>
      <c r="R78" s="792"/>
      <c r="S78" s="792"/>
      <c r="T78" s="792"/>
      <c r="U78" s="792"/>
      <c r="V78" s="792"/>
      <c r="W78" s="792"/>
      <c r="X78" s="792"/>
    </row>
    <row r="79" spans="1:24" x14ac:dyDescent="0.25">
      <c r="A79" s="758"/>
      <c r="B79" s="758"/>
      <c r="C79" s="758"/>
      <c r="D79" s="758"/>
      <c r="E79" s="758"/>
      <c r="F79" s="758"/>
      <c r="G79" s="758"/>
      <c r="H79" s="758"/>
      <c r="I79" s="758"/>
      <c r="J79" s="758"/>
      <c r="K79" s="758"/>
      <c r="L79" s="757" t="s">
        <v>365</v>
      </c>
      <c r="M79" s="756"/>
      <c r="N79" s="758"/>
      <c r="O79" s="792"/>
      <c r="P79" s="792"/>
      <c r="Q79" s="792"/>
      <c r="R79" s="792"/>
      <c r="S79" s="792"/>
      <c r="T79" s="792"/>
      <c r="U79" s="792"/>
      <c r="V79" s="792"/>
      <c r="W79" s="792"/>
      <c r="X79" s="792"/>
    </row>
    <row r="80" spans="1:24" x14ac:dyDescent="0.25">
      <c r="A80" s="758"/>
      <c r="B80" s="758"/>
      <c r="C80" s="758"/>
      <c r="D80" s="758"/>
      <c r="E80" s="758"/>
      <c r="F80" s="758"/>
      <c r="G80" s="758"/>
      <c r="H80" s="758"/>
      <c r="I80" s="758"/>
      <c r="J80" s="758"/>
      <c r="K80" s="758"/>
      <c r="L80" s="757" t="s">
        <v>366</v>
      </c>
      <c r="M80" s="756"/>
      <c r="N80" s="758"/>
      <c r="O80" s="792"/>
      <c r="P80" s="792"/>
      <c r="Q80" s="792"/>
      <c r="R80" s="792"/>
      <c r="S80" s="792"/>
      <c r="T80" s="792"/>
      <c r="U80" s="792"/>
      <c r="V80" s="792"/>
      <c r="W80" s="792"/>
      <c r="X80" s="792"/>
    </row>
    <row r="81" spans="1:24" x14ac:dyDescent="0.25">
      <c r="A81" s="758"/>
      <c r="B81" s="758"/>
      <c r="C81" s="758"/>
      <c r="D81" s="758"/>
      <c r="E81" s="758"/>
      <c r="F81" s="758"/>
      <c r="G81" s="758"/>
      <c r="H81" s="758"/>
      <c r="I81" s="758"/>
      <c r="J81" s="758"/>
      <c r="K81" s="758"/>
      <c r="L81" s="757" t="s">
        <v>367</v>
      </c>
      <c r="M81" s="756"/>
      <c r="N81" s="758"/>
      <c r="O81" s="792"/>
      <c r="P81" s="792"/>
      <c r="Q81" s="792"/>
      <c r="R81" s="792"/>
      <c r="S81" s="792"/>
      <c r="T81" s="792"/>
      <c r="U81" s="792"/>
      <c r="V81" s="792"/>
      <c r="W81" s="792"/>
      <c r="X81" s="792"/>
    </row>
    <row r="82" spans="1:24" x14ac:dyDescent="0.25">
      <c r="A82" s="758"/>
      <c r="B82" s="758"/>
      <c r="C82" s="758"/>
      <c r="D82" s="758"/>
      <c r="E82" s="758"/>
      <c r="F82" s="758"/>
      <c r="G82" s="758"/>
      <c r="H82" s="758"/>
      <c r="I82" s="758"/>
      <c r="J82" s="758"/>
      <c r="K82" s="758"/>
      <c r="L82" s="757" t="s">
        <v>267</v>
      </c>
      <c r="M82" s="756"/>
      <c r="N82" s="758"/>
      <c r="O82" s="792"/>
      <c r="P82" s="792"/>
      <c r="Q82" s="792"/>
      <c r="R82" s="792"/>
      <c r="S82" s="792"/>
      <c r="T82" s="792"/>
      <c r="U82" s="792"/>
      <c r="V82" s="792"/>
      <c r="W82" s="792"/>
      <c r="X82" s="792"/>
    </row>
    <row r="83" spans="1:24" x14ac:dyDescent="0.25">
      <c r="A83" s="759"/>
      <c r="B83" s="759"/>
      <c r="C83" s="758"/>
      <c r="D83" s="758"/>
      <c r="E83" s="758"/>
      <c r="F83" s="758"/>
      <c r="G83" s="758"/>
      <c r="H83" s="758"/>
      <c r="I83" s="35"/>
      <c r="J83" s="758"/>
      <c r="K83" s="758"/>
      <c r="L83" s="757" t="s">
        <v>368</v>
      </c>
      <c r="M83" s="756"/>
      <c r="N83" s="758"/>
      <c r="O83" s="792"/>
      <c r="P83" s="792"/>
      <c r="Q83" s="792"/>
      <c r="R83" s="792"/>
      <c r="S83" s="792"/>
      <c r="T83" s="792"/>
      <c r="U83" s="792"/>
      <c r="V83" s="792"/>
      <c r="W83" s="792"/>
      <c r="X83" s="792"/>
    </row>
    <row r="84" spans="1:24" x14ac:dyDescent="0.25">
      <c r="L84" s="757" t="s">
        <v>369</v>
      </c>
      <c r="M84" s="756"/>
      <c r="O84" s="792"/>
      <c r="P84" s="792"/>
      <c r="Q84" s="792"/>
      <c r="R84" s="792"/>
      <c r="S84" s="792"/>
      <c r="T84" s="792"/>
      <c r="U84" s="792"/>
      <c r="V84" s="792"/>
      <c r="W84" s="792"/>
      <c r="X84" s="792"/>
    </row>
    <row r="85" spans="1:24" x14ac:dyDescent="0.25">
      <c r="L85" s="757" t="s">
        <v>268</v>
      </c>
      <c r="M85" s="756"/>
    </row>
  </sheetData>
  <sheetProtection algorithmName="SHA-512" hashValue="7CMoKqh4vr3KrCEk60Gt74pcfAHkVki3Z2HEiuTNzbpXB31jC/o9Nuw361qXSowO5SR+TYBP/KcLlCfj/NLUqQ==" saltValue="KsSW70PzLFjpsBn2Y2zlig==" spinCount="100000" sheet="1" objects="1" scenarios="1"/>
  <mergeCells count="3">
    <mergeCell ref="D13:M13"/>
    <mergeCell ref="P10:X10"/>
    <mergeCell ref="P12:X12"/>
  </mergeCells>
  <pageMargins left="0.46" right="0.31" top="0.71" bottom="1" header="0.5" footer="0.5"/>
  <pageSetup scale="50" orientation="landscape" horizontalDpi="4294967292" r:id="rId1"/>
  <headerFooter alignWithMargins="0">
    <oddFooter>&amp;L&amp;8HSC Pre-Award Administration&amp;C&amp;8&amp;F, Page 7&amp;R&amp;8&amp;D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indexed="33"/>
  </sheetPr>
  <dimension ref="A1:AH92"/>
  <sheetViews>
    <sheetView showGridLines="0" showOutlineSymbols="0" topLeftCell="A4" zoomScale="90" zoomScaleNormal="90" zoomScaleSheetLayoutView="90" workbookViewId="0">
      <selection activeCell="M49" sqref="M49"/>
    </sheetView>
  </sheetViews>
  <sheetFormatPr defaultColWidth="8.7265625" defaultRowHeight="12.5" x14ac:dyDescent="0.25"/>
  <cols>
    <col min="1" max="1" width="28.453125" style="10" customWidth="1"/>
    <col min="2" max="11" width="13.7265625" style="10" customWidth="1"/>
    <col min="12" max="12" width="14.7265625" style="10" customWidth="1"/>
    <col min="13" max="13" width="17" style="10" customWidth="1"/>
    <col min="14" max="14" width="13.54296875" style="10" customWidth="1"/>
    <col min="15" max="15" width="12.81640625" style="10" customWidth="1"/>
    <col min="16" max="16" width="14.81640625" style="10" customWidth="1"/>
    <col min="17" max="17" width="14.453125" style="10" customWidth="1"/>
    <col min="18" max="23" width="12.81640625" style="10" customWidth="1"/>
    <col min="24" max="32" width="11.54296875" style="10" bestFit="1" customWidth="1"/>
    <col min="33" max="33" width="12.54296875" style="10" bestFit="1" customWidth="1"/>
    <col min="34" max="16384" width="8.7265625" style="10"/>
  </cols>
  <sheetData>
    <row r="1" spans="1:34" ht="13" customHeight="1" x14ac:dyDescent="0.3">
      <c r="B1" s="9"/>
      <c r="C1" s="9"/>
      <c r="D1" s="9"/>
      <c r="E1" s="9"/>
      <c r="F1" s="9"/>
      <c r="G1" s="336" t="str">
        <f>'Salary Detail'!A1</f>
        <v>UNM HEALTH SCIENCES CENTER</v>
      </c>
      <c r="N1" s="898" t="s">
        <v>372</v>
      </c>
      <c r="O1" s="949"/>
      <c r="P1" s="949"/>
      <c r="Q1" s="950"/>
      <c r="R1" s="557"/>
      <c r="S1" s="557"/>
    </row>
    <row r="2" spans="1:34" ht="13" customHeight="1" thickBot="1" x14ac:dyDescent="0.35">
      <c r="B2" s="9"/>
      <c r="C2" s="9"/>
      <c r="D2" s="9"/>
      <c r="E2" s="9"/>
      <c r="F2" s="954" t="s">
        <v>213</v>
      </c>
      <c r="G2" s="836"/>
      <c r="H2" s="836"/>
      <c r="L2" s="649"/>
      <c r="N2" s="901" t="s">
        <v>373</v>
      </c>
      <c r="O2" s="951"/>
      <c r="P2" s="951"/>
      <c r="Q2" s="952"/>
      <c r="R2" s="556"/>
      <c r="S2" s="556"/>
    </row>
    <row r="3" spans="1:34" ht="13" customHeight="1" thickBot="1" x14ac:dyDescent="0.35">
      <c r="A3" s="231" t="str">
        <f>+'Salary Detail'!A3</f>
        <v>Revised 3/14/2023</v>
      </c>
      <c r="B3" s="9"/>
      <c r="C3" s="9"/>
      <c r="D3" s="9"/>
      <c r="E3" s="9"/>
      <c r="F3" s="590"/>
      <c r="G3" s="589"/>
      <c r="H3" s="589"/>
      <c r="L3" s="958" t="s">
        <v>320</v>
      </c>
      <c r="N3" s="901"/>
      <c r="O3" s="951"/>
      <c r="P3" s="951"/>
      <c r="Q3" s="952"/>
      <c r="R3" s="556"/>
      <c r="S3" s="556"/>
    </row>
    <row r="4" spans="1:34" ht="13.5" customHeight="1" x14ac:dyDescent="0.25">
      <c r="B4" s="11" t="s">
        <v>6</v>
      </c>
      <c r="C4" s="11"/>
      <c r="D4" s="650">
        <f>'Salary Detail'!E5</f>
        <v>0</v>
      </c>
      <c r="E4" s="651"/>
      <c r="F4" s="651"/>
      <c r="G4" s="651"/>
      <c r="H4" s="652"/>
      <c r="I4" s="160"/>
      <c r="J4" s="43"/>
      <c r="L4" s="959"/>
      <c r="M4" s="419"/>
      <c r="N4" s="906"/>
      <c r="O4" s="953"/>
      <c r="P4" s="560" t="s">
        <v>379</v>
      </c>
      <c r="Q4" s="560" t="s">
        <v>380</v>
      </c>
      <c r="R4" s="557"/>
      <c r="S4" s="557"/>
    </row>
    <row r="5" spans="1:34" ht="18" customHeight="1" x14ac:dyDescent="0.25">
      <c r="B5" s="43" t="s">
        <v>8</v>
      </c>
      <c r="D5" s="650">
        <f>'Salary Detail'!E6</f>
        <v>0</v>
      </c>
      <c r="E5" s="653"/>
      <c r="F5" s="653"/>
      <c r="G5" s="653"/>
      <c r="H5" s="654"/>
      <c r="I5"/>
      <c r="J5"/>
      <c r="K5"/>
      <c r="L5" s="960"/>
      <c r="M5" s="419"/>
      <c r="N5" s="668"/>
      <c r="O5" s="569" t="s">
        <v>393</v>
      </c>
      <c r="P5" s="561" t="s">
        <v>381</v>
      </c>
      <c r="Q5" s="562" t="s">
        <v>381</v>
      </c>
      <c r="R5" s="558"/>
      <c r="S5" s="559"/>
    </row>
    <row r="6" spans="1:34" ht="18" customHeight="1" thickBot="1" x14ac:dyDescent="0.35">
      <c r="B6" s="71" t="s">
        <v>122</v>
      </c>
      <c r="C6" s="11"/>
      <c r="D6" s="650">
        <f>'Salary Detail'!E7</f>
        <v>0</v>
      </c>
      <c r="E6" s="651"/>
      <c r="F6" s="651"/>
      <c r="G6" s="651"/>
      <c r="H6" s="654"/>
      <c r="I6" s="665" t="s">
        <v>400</v>
      </c>
      <c r="J6" s="666"/>
      <c r="L6" s="655">
        <f>'Salary Detail'!T64+'Salary Detail'!S119+'Salary Detail'!T119+'Salary Detail'!S173+'Salary Detail'!T173+'Salary Detail'!S229+'Salary Detail'!T229+'Salary Detail'!S283+'Salary Detail'!T283+'Salary Detail'!S337</f>
        <v>0</v>
      </c>
      <c r="N6" s="896" t="s">
        <v>374</v>
      </c>
      <c r="O6" s="961"/>
      <c r="P6" s="564" t="s">
        <v>383</v>
      </c>
      <c r="Q6" s="562" t="s">
        <v>384</v>
      </c>
      <c r="R6" s="559"/>
      <c r="S6" s="559"/>
    </row>
    <row r="7" spans="1:34" ht="18" customHeight="1" thickTop="1" thickBot="1" x14ac:dyDescent="0.35">
      <c r="B7" s="11" t="s">
        <v>10</v>
      </c>
      <c r="C7" s="11"/>
      <c r="D7" s="650">
        <f>'Salary Detail'!E8</f>
        <v>0</v>
      </c>
      <c r="E7" s="651"/>
      <c r="F7" s="651"/>
      <c r="G7" s="651"/>
      <c r="H7" s="654"/>
      <c r="I7" s="667"/>
      <c r="J7" s="964" t="s">
        <v>401</v>
      </c>
      <c r="K7" s="965"/>
      <c r="L7" s="956" t="s">
        <v>300</v>
      </c>
      <c r="N7" s="896" t="s">
        <v>375</v>
      </c>
      <c r="O7" s="961"/>
      <c r="P7" s="565" t="s">
        <v>390</v>
      </c>
      <c r="Q7" s="562" t="s">
        <v>384</v>
      </c>
      <c r="R7" s="558"/>
      <c r="S7" s="559"/>
    </row>
    <row r="8" spans="1:34" ht="18" customHeight="1" thickTop="1" x14ac:dyDescent="0.25">
      <c r="A8" s="43"/>
      <c r="B8" s="71" t="s">
        <v>182</v>
      </c>
      <c r="D8" s="141">
        <f>ROUNDUP(totalyrs,0)</f>
        <v>1</v>
      </c>
      <c r="J8" s="43"/>
      <c r="L8" s="957"/>
      <c r="N8" s="896" t="s">
        <v>376</v>
      </c>
      <c r="O8" s="961"/>
      <c r="P8" s="565" t="s">
        <v>391</v>
      </c>
      <c r="Q8" s="562" t="s">
        <v>384</v>
      </c>
      <c r="R8" s="559"/>
      <c r="S8" s="559"/>
    </row>
    <row r="9" spans="1:34" ht="15" customHeight="1" x14ac:dyDescent="0.25">
      <c r="A9" s="43"/>
      <c r="B9" s="71"/>
      <c r="D9" s="457"/>
      <c r="J9" s="43"/>
      <c r="L9" s="591"/>
      <c r="N9" s="896" t="s">
        <v>377</v>
      </c>
      <c r="O9" s="961"/>
      <c r="P9" s="565" t="s">
        <v>385</v>
      </c>
      <c r="Q9" s="562" t="s">
        <v>387</v>
      </c>
      <c r="R9" s="559"/>
      <c r="S9" s="559"/>
    </row>
    <row r="10" spans="1:34" ht="15" customHeight="1" x14ac:dyDescent="0.25">
      <c r="A10" s="43"/>
      <c r="B10" s="71"/>
      <c r="D10" s="457"/>
      <c r="J10" s="43"/>
      <c r="L10" s="591"/>
      <c r="N10" s="896" t="s">
        <v>395</v>
      </c>
      <c r="O10" s="961"/>
      <c r="P10" s="565" t="s">
        <v>386</v>
      </c>
      <c r="Q10" s="562" t="s">
        <v>394</v>
      </c>
      <c r="R10" s="559"/>
      <c r="S10" s="559"/>
    </row>
    <row r="11" spans="1:34" ht="16" customHeight="1" thickBot="1" x14ac:dyDescent="0.35">
      <c r="A11" s="458"/>
      <c r="B11" s="71"/>
      <c r="D11" s="457"/>
      <c r="J11" s="43"/>
      <c r="L11" s="591"/>
      <c r="N11" s="962" t="s">
        <v>392</v>
      </c>
      <c r="O11" s="963"/>
      <c r="P11" s="563"/>
      <c r="Q11" s="566">
        <v>9.7500000000000003E-2</v>
      </c>
      <c r="R11" s="559"/>
      <c r="S11" s="559"/>
    </row>
    <row r="12" spans="1:34" ht="15.75" customHeight="1" thickBot="1" x14ac:dyDescent="0.45">
      <c r="A12" s="501" t="s">
        <v>346</v>
      </c>
      <c r="B12" s="459" t="s">
        <v>354</v>
      </c>
      <c r="C12" s="656"/>
      <c r="N12" s="955" t="s">
        <v>77</v>
      </c>
      <c r="O12" s="955"/>
      <c r="P12" s="955"/>
      <c r="Q12" s="955"/>
      <c r="R12" s="955"/>
      <c r="S12" s="955"/>
      <c r="T12" s="955"/>
      <c r="U12" s="955"/>
      <c r="V12" s="955"/>
      <c r="W12" s="955"/>
      <c r="X12" s="670"/>
      <c r="Y12" s="670"/>
      <c r="Z12" s="670"/>
      <c r="AA12" s="670"/>
      <c r="AB12" s="670"/>
      <c r="AC12" s="670"/>
      <c r="AD12" s="670"/>
      <c r="AE12" s="670"/>
      <c r="AF12" s="670"/>
      <c r="AG12" s="670"/>
      <c r="AH12" s="670"/>
    </row>
    <row r="13" spans="1:34" ht="19" customHeight="1" thickTop="1" thickBot="1" x14ac:dyDescent="0.35">
      <c r="A13" s="322" t="s">
        <v>78</v>
      </c>
      <c r="B13" s="12" t="s">
        <v>79</v>
      </c>
      <c r="C13" s="12" t="s">
        <v>43</v>
      </c>
      <c r="D13" s="12" t="s">
        <v>44</v>
      </c>
      <c r="E13" s="12" t="s">
        <v>52</v>
      </c>
      <c r="F13" s="12" t="s">
        <v>53</v>
      </c>
      <c r="G13" s="12" t="s">
        <v>144</v>
      </c>
      <c r="H13" s="12" t="s">
        <v>145</v>
      </c>
      <c r="I13" s="12" t="s">
        <v>149</v>
      </c>
      <c r="J13" s="12" t="s">
        <v>150</v>
      </c>
      <c r="K13" s="12" t="s">
        <v>155</v>
      </c>
      <c r="L13" s="12" t="s">
        <v>46</v>
      </c>
      <c r="M13" s="13" t="s">
        <v>80</v>
      </c>
      <c r="N13" s="727" t="str">
        <f t="shared" ref="N13:W13" si="0">B13</f>
        <v>Year 1</v>
      </c>
      <c r="O13" s="727" t="str">
        <f t="shared" si="0"/>
        <v>Year 2</v>
      </c>
      <c r="P13" s="727" t="str">
        <f t="shared" si="0"/>
        <v>Year 3</v>
      </c>
      <c r="Q13" s="727" t="str">
        <f t="shared" si="0"/>
        <v>Year 4</v>
      </c>
      <c r="R13" s="727" t="str">
        <f t="shared" si="0"/>
        <v>Year 5</v>
      </c>
      <c r="S13" s="727" t="str">
        <f t="shared" si="0"/>
        <v>Year 6</v>
      </c>
      <c r="T13" s="727" t="str">
        <f t="shared" si="0"/>
        <v>Year 7</v>
      </c>
      <c r="U13" s="727" t="str">
        <f t="shared" si="0"/>
        <v>Year 8</v>
      </c>
      <c r="V13" s="727" t="str">
        <f t="shared" si="0"/>
        <v>Year 9</v>
      </c>
      <c r="W13" s="727" t="str">
        <f t="shared" si="0"/>
        <v>Year 10</v>
      </c>
      <c r="X13" s="728"/>
      <c r="Y13" s="728"/>
      <c r="Z13" s="728"/>
      <c r="AA13" s="728"/>
      <c r="AB13" s="728"/>
      <c r="AC13" s="728"/>
      <c r="AD13" s="728"/>
      <c r="AE13" s="670"/>
      <c r="AF13" s="670"/>
      <c r="AG13" s="670"/>
      <c r="AH13" s="670"/>
    </row>
    <row r="14" spans="1:34" ht="17.149999999999999" customHeight="1" thickTop="1" x14ac:dyDescent="0.25">
      <c r="A14" s="323" t="s">
        <v>22</v>
      </c>
      <c r="B14" s="169">
        <f>'Salary Detail'!K64</f>
        <v>0</v>
      </c>
      <c r="C14" s="170">
        <f>IF(totalyrs&gt;1,'Salary Detail'!C119,0)</f>
        <v>0</v>
      </c>
      <c r="D14" s="170">
        <f>IF(totalyrs&gt;2,'Salary Detail'!L119,0)</f>
        <v>0</v>
      </c>
      <c r="E14" s="170">
        <f>IF(totalyrs&gt;3,'Salary Detail'!C173,0)</f>
        <v>0</v>
      </c>
      <c r="F14" s="170">
        <f>IF(totalyrs&gt;4,'Salary Detail'!L173,0)</f>
        <v>0</v>
      </c>
      <c r="G14" s="170">
        <f>IF(totalyrs&gt;5,'Salary Detail'!C229,0)</f>
        <v>0</v>
      </c>
      <c r="H14" s="170">
        <f>IF(totalyrs&gt;6,'Salary Detail'!L229,0)</f>
        <v>0</v>
      </c>
      <c r="I14" s="170">
        <f>IF(totalyrs&gt;7,'Salary Detail'!C283,0)</f>
        <v>0</v>
      </c>
      <c r="J14" s="170">
        <f>IF(totalyrs&gt;8,'Salary Detail'!L283,0)</f>
        <v>0</v>
      </c>
      <c r="K14" s="167">
        <f>IF(totalyrs&gt;9,'Salary Detail'!C337,0)</f>
        <v>0</v>
      </c>
      <c r="L14" s="169">
        <f t="shared" ref="L14:L34" si="1">SUM(B14:K14)</f>
        <v>0</v>
      </c>
      <c r="M14" s="14"/>
      <c r="N14" s="728"/>
      <c r="O14" s="728"/>
      <c r="P14" s="728"/>
      <c r="Q14" s="728"/>
      <c r="R14" s="728"/>
      <c r="S14" s="728"/>
      <c r="T14" s="728"/>
      <c r="U14" s="728"/>
      <c r="V14" s="728"/>
      <c r="W14" s="728"/>
      <c r="X14" s="728"/>
      <c r="Y14" s="728"/>
      <c r="Z14" s="728"/>
      <c r="AA14" s="728"/>
      <c r="AB14" s="728"/>
      <c r="AC14" s="728"/>
      <c r="AD14" s="728"/>
      <c r="AE14" s="670"/>
      <c r="AF14" s="670"/>
      <c r="AG14" s="670"/>
      <c r="AH14" s="670"/>
    </row>
    <row r="15" spans="1:34" ht="17.149999999999999" customHeight="1" x14ac:dyDescent="0.25">
      <c r="A15" s="230" t="s">
        <v>81</v>
      </c>
      <c r="B15" s="171">
        <f>'Salary Detail'!M64</f>
        <v>0</v>
      </c>
      <c r="C15" s="172">
        <f>IF(totalyrs&gt;1,'Salary Detail'!E119,0)</f>
        <v>0</v>
      </c>
      <c r="D15" s="172">
        <f>IF(totalyrs&gt;2,'Salary Detail'!M119,0)</f>
        <v>0</v>
      </c>
      <c r="E15" s="172">
        <f>IF(totalyrs&gt;3,'Salary Detail'!E173,0)</f>
        <v>0</v>
      </c>
      <c r="F15" s="172">
        <f>IF(totalyrs&gt;4,'Salary Detail'!M173,0)</f>
        <v>0</v>
      </c>
      <c r="G15" s="172">
        <f>IF(totalyrs&gt;5,'Salary Detail'!E229,0)</f>
        <v>0</v>
      </c>
      <c r="H15" s="172">
        <f>IF(totalyrs&gt;6,'Salary Detail'!M229,0)</f>
        <v>0</v>
      </c>
      <c r="I15" s="172">
        <f>IF(totalyrs&gt;7,'Salary Detail'!E283,0)</f>
        <v>0</v>
      </c>
      <c r="J15" s="172">
        <f>IF(totalyrs&gt;8,'Salary Detail'!M283,0)</f>
        <v>0</v>
      </c>
      <c r="K15" s="168">
        <f>IF(totalyrs&gt;9,'Salary Detail'!E337,0)</f>
        <v>0</v>
      </c>
      <c r="L15" s="186">
        <f t="shared" si="1"/>
        <v>0</v>
      </c>
      <c r="M15" s="15"/>
      <c r="N15" s="729"/>
      <c r="O15" s="729"/>
      <c r="P15" s="729"/>
      <c r="Q15" s="728"/>
      <c r="R15" s="728"/>
      <c r="S15" s="728"/>
      <c r="T15" s="728"/>
      <c r="U15" s="728"/>
      <c r="V15" s="728"/>
      <c r="W15" s="728"/>
      <c r="X15" s="728"/>
      <c r="Y15" s="728"/>
      <c r="Z15" s="728"/>
      <c r="AA15" s="728"/>
      <c r="AB15" s="728"/>
      <c r="AC15" s="728"/>
      <c r="AD15" s="728"/>
      <c r="AE15" s="670"/>
      <c r="AF15" s="670"/>
      <c r="AG15" s="670"/>
      <c r="AH15" s="670"/>
    </row>
    <row r="16" spans="1:34" ht="17.149999999999999" customHeight="1" x14ac:dyDescent="0.25">
      <c r="A16" s="324" t="s">
        <v>239</v>
      </c>
      <c r="B16" s="171">
        <f t="shared" ref="B16:L16" si="2">SUM(B14+B15)</f>
        <v>0</v>
      </c>
      <c r="C16" s="171">
        <f t="shared" si="2"/>
        <v>0</v>
      </c>
      <c r="D16" s="171">
        <f t="shared" si="2"/>
        <v>0</v>
      </c>
      <c r="E16" s="171">
        <f t="shared" si="2"/>
        <v>0</v>
      </c>
      <c r="F16" s="171">
        <f t="shared" si="2"/>
        <v>0</v>
      </c>
      <c r="G16" s="171">
        <f t="shared" si="2"/>
        <v>0</v>
      </c>
      <c r="H16" s="171">
        <f t="shared" si="2"/>
        <v>0</v>
      </c>
      <c r="I16" s="171">
        <f t="shared" si="2"/>
        <v>0</v>
      </c>
      <c r="J16" s="171">
        <f t="shared" si="2"/>
        <v>0</v>
      </c>
      <c r="K16" s="171">
        <f t="shared" si="2"/>
        <v>0</v>
      </c>
      <c r="L16" s="171">
        <f t="shared" si="2"/>
        <v>0</v>
      </c>
      <c r="M16" s="418">
        <v>0.03</v>
      </c>
      <c r="N16" s="729" t="s">
        <v>170</v>
      </c>
      <c r="O16" s="729"/>
      <c r="P16" s="729"/>
      <c r="Q16" s="728"/>
      <c r="R16" s="728"/>
      <c r="S16" s="728"/>
      <c r="T16" s="728"/>
      <c r="U16" s="728"/>
      <c r="V16" s="728"/>
      <c r="W16" s="728"/>
      <c r="X16" s="728"/>
      <c r="Y16" s="728"/>
      <c r="Z16" s="728"/>
      <c r="AA16" s="728"/>
      <c r="AB16" s="728"/>
      <c r="AC16" s="728"/>
      <c r="AD16" s="728"/>
      <c r="AE16" s="670"/>
      <c r="AF16" s="670"/>
      <c r="AG16" s="670"/>
      <c r="AH16" s="670"/>
    </row>
    <row r="17" spans="1:34" ht="17.149999999999999" customHeight="1" x14ac:dyDescent="0.25">
      <c r="A17" s="657" t="s">
        <v>88</v>
      </c>
      <c r="B17" s="550">
        <v>0</v>
      </c>
      <c r="C17" s="175">
        <f>IF($D$8&gt;1,(B17*(1+inflationpcnt)),0)</f>
        <v>0</v>
      </c>
      <c r="D17" s="175">
        <f t="shared" ref="D17:D28" si="3">IF($D$8&gt;2,(C17*(1+inflationpcnt)),0)</f>
        <v>0</v>
      </c>
      <c r="E17" s="175">
        <f t="shared" ref="E17:E28" si="4">IF($D$8&gt;3,(D17*(1+inflationpcnt)),0)</f>
        <v>0</v>
      </c>
      <c r="F17" s="175">
        <f t="shared" ref="F17:F28" si="5">IF($D$8&gt;4,(E17*(1+inflationpcnt)),0)</f>
        <v>0</v>
      </c>
      <c r="G17" s="175">
        <f t="shared" ref="G17:G23" si="6">IF($D$8&gt;5,(F17*(1+inflationpcnt)),0)</f>
        <v>0</v>
      </c>
      <c r="H17" s="175">
        <f t="shared" ref="H17:H23" si="7">IF($D$8&gt;6,(G17*(1+inflationpcnt)),0)</f>
        <v>0</v>
      </c>
      <c r="I17" s="175">
        <f t="shared" ref="I17:I23" si="8">IF($D$8&gt;7,(H17*(1+inflationpcnt)),0)</f>
        <v>0</v>
      </c>
      <c r="J17" s="175">
        <f t="shared" ref="J17:J23" si="9">IF($D$8&gt;8,(I17*(1+inflationpcnt)),0)</f>
        <v>0</v>
      </c>
      <c r="K17" s="175">
        <f t="shared" ref="K17:K23" si="10">IF($D$8&gt;9,(J17*(1+inflationpcnt)),0)</f>
        <v>0</v>
      </c>
      <c r="L17" s="186">
        <f t="shared" si="1"/>
        <v>0</v>
      </c>
      <c r="M17" s="338" t="s">
        <v>241</v>
      </c>
      <c r="N17" s="729"/>
      <c r="O17" s="729"/>
      <c r="P17" s="729"/>
      <c r="Q17" s="728"/>
      <c r="R17" s="728"/>
      <c r="S17" s="728"/>
      <c r="T17" s="728"/>
      <c r="U17" s="728"/>
      <c r="V17" s="728"/>
      <c r="W17" s="728"/>
      <c r="X17" s="728"/>
      <c r="Y17" s="728"/>
      <c r="Z17" s="728"/>
      <c r="AA17" s="728"/>
      <c r="AB17" s="728"/>
      <c r="AC17" s="728"/>
      <c r="AD17" s="728"/>
      <c r="AE17" s="670"/>
      <c r="AF17" s="670"/>
      <c r="AG17" s="670"/>
      <c r="AH17" s="670"/>
    </row>
    <row r="18" spans="1:34" ht="17.149999999999999" customHeight="1" x14ac:dyDescent="0.25">
      <c r="A18" s="658" t="s">
        <v>240</v>
      </c>
      <c r="B18" s="173"/>
      <c r="C18" s="175">
        <f t="shared" ref="C18:C29" si="11">IF($D$8&gt;1,(B18*(1+inflationpcnt)),0)</f>
        <v>0</v>
      </c>
      <c r="D18" s="175">
        <f t="shared" si="3"/>
        <v>0</v>
      </c>
      <c r="E18" s="175">
        <f t="shared" si="4"/>
        <v>0</v>
      </c>
      <c r="F18" s="175">
        <f t="shared" si="5"/>
        <v>0</v>
      </c>
      <c r="G18" s="175">
        <f t="shared" si="6"/>
        <v>0</v>
      </c>
      <c r="H18" s="175">
        <f t="shared" si="7"/>
        <v>0</v>
      </c>
      <c r="I18" s="175">
        <f t="shared" si="8"/>
        <v>0</v>
      </c>
      <c r="J18" s="175">
        <f t="shared" si="9"/>
        <v>0</v>
      </c>
      <c r="K18" s="175">
        <f t="shared" si="10"/>
        <v>0</v>
      </c>
      <c r="L18" s="186">
        <f>SUM(B18:K18)</f>
        <v>0</v>
      </c>
      <c r="M18" s="16" t="s">
        <v>204</v>
      </c>
      <c r="N18" s="729">
        <f>IF('Salary Detail'!F19="X",-B18,0)</f>
        <v>0</v>
      </c>
      <c r="O18" s="729">
        <f>IF('Salary Detail'!F19="X",-C18,0)</f>
        <v>0</v>
      </c>
      <c r="P18" s="729">
        <f>IF('Salary Detail'!F19="X",-D18,0)</f>
        <v>0</v>
      </c>
      <c r="Q18" s="729">
        <f>IF('Salary Detail'!F19="X",-E18,0)</f>
        <v>0</v>
      </c>
      <c r="R18" s="729">
        <f>IF('Salary Detail'!F19="X",-F18,0)</f>
        <v>0</v>
      </c>
      <c r="S18" s="729">
        <f>IF('Salary Detail'!F19="X",-G18,0)</f>
        <v>0</v>
      </c>
      <c r="T18" s="729">
        <f>IF('Salary Detail'!F19="X",-H18,0)</f>
        <v>0</v>
      </c>
      <c r="U18" s="729">
        <f>IF('Salary Detail'!F19="X",-I18,0)</f>
        <v>0</v>
      </c>
      <c r="V18" s="729">
        <f>IF('Salary Detail'!F19="X",-J18,0)</f>
        <v>0</v>
      </c>
      <c r="W18" s="729">
        <f>IF('Salary Detail'!F19="X",-K18,0)</f>
        <v>0</v>
      </c>
      <c r="X18" s="728"/>
      <c r="Y18" s="728"/>
      <c r="Z18" s="728"/>
      <c r="AA18" s="728"/>
      <c r="AB18" s="728"/>
      <c r="AC18" s="728"/>
      <c r="AD18" s="728"/>
      <c r="AE18" s="670"/>
      <c r="AF18" s="670"/>
      <c r="AG18" s="670"/>
      <c r="AH18" s="670"/>
    </row>
    <row r="19" spans="1:34" ht="17.149999999999999" customHeight="1" x14ac:dyDescent="0.25">
      <c r="A19" s="659" t="s">
        <v>82</v>
      </c>
      <c r="B19" s="173">
        <v>0</v>
      </c>
      <c r="C19" s="175">
        <f t="shared" si="11"/>
        <v>0</v>
      </c>
      <c r="D19" s="175">
        <f t="shared" si="3"/>
        <v>0</v>
      </c>
      <c r="E19" s="175">
        <f t="shared" si="4"/>
        <v>0</v>
      </c>
      <c r="F19" s="175">
        <f t="shared" si="5"/>
        <v>0</v>
      </c>
      <c r="G19" s="175">
        <f t="shared" si="6"/>
        <v>0</v>
      </c>
      <c r="H19" s="175">
        <f t="shared" si="7"/>
        <v>0</v>
      </c>
      <c r="I19" s="175">
        <f t="shared" si="8"/>
        <v>0</v>
      </c>
      <c r="J19" s="175">
        <f t="shared" si="9"/>
        <v>0</v>
      </c>
      <c r="K19" s="175">
        <f t="shared" si="10"/>
        <v>0</v>
      </c>
      <c r="L19" s="186">
        <f t="shared" si="1"/>
        <v>0</v>
      </c>
      <c r="M19" s="15"/>
      <c r="N19" s="728"/>
      <c r="O19" s="729"/>
      <c r="P19" s="729"/>
      <c r="Q19" s="728"/>
      <c r="R19" s="728"/>
      <c r="S19" s="728"/>
      <c r="T19" s="728"/>
      <c r="U19" s="728"/>
      <c r="V19" s="728"/>
      <c r="W19" s="728"/>
      <c r="X19" s="728"/>
      <c r="Y19" s="728"/>
      <c r="Z19" s="728"/>
      <c r="AA19" s="728"/>
      <c r="AB19" s="728"/>
      <c r="AC19" s="728"/>
      <c r="AD19" s="728"/>
      <c r="AE19" s="670"/>
      <c r="AF19" s="670"/>
      <c r="AG19" s="670"/>
      <c r="AH19" s="670"/>
    </row>
    <row r="20" spans="1:34" ht="17.149999999999999" customHeight="1" x14ac:dyDescent="0.25">
      <c r="A20" s="659" t="s">
        <v>84</v>
      </c>
      <c r="B20" s="173">
        <v>0</v>
      </c>
      <c r="C20" s="175">
        <f>IF($D$8&gt;1,(B20*(1+inflationpcnt)),0)</f>
        <v>0</v>
      </c>
      <c r="D20" s="175">
        <f>IF($D$8&gt;2,(C20*(1+inflationpcnt)),0)</f>
        <v>0</v>
      </c>
      <c r="E20" s="175">
        <f>IF($D$8&gt;3,(D20*(1+inflationpcnt)),0)</f>
        <v>0</v>
      </c>
      <c r="F20" s="175">
        <f>IF($D$8&gt;4,(E20*(1+inflationpcnt)),0)</f>
        <v>0</v>
      </c>
      <c r="G20" s="175">
        <f t="shared" si="6"/>
        <v>0</v>
      </c>
      <c r="H20" s="175">
        <f t="shared" si="7"/>
        <v>0</v>
      </c>
      <c r="I20" s="175">
        <f t="shared" si="8"/>
        <v>0</v>
      </c>
      <c r="J20" s="175">
        <f t="shared" si="9"/>
        <v>0</v>
      </c>
      <c r="K20" s="175">
        <f t="shared" si="10"/>
        <v>0</v>
      </c>
      <c r="L20" s="186">
        <f t="shared" si="1"/>
        <v>0</v>
      </c>
      <c r="M20" s="15"/>
      <c r="N20" s="729"/>
      <c r="O20" s="729"/>
      <c r="P20" s="729"/>
      <c r="Q20" s="728"/>
      <c r="R20" s="728"/>
      <c r="S20" s="728"/>
      <c r="T20" s="728"/>
      <c r="U20" s="728"/>
      <c r="V20" s="728"/>
      <c r="W20" s="728"/>
      <c r="X20" s="728"/>
      <c r="Y20" s="728"/>
      <c r="Z20" s="728"/>
      <c r="AA20" s="728"/>
      <c r="AB20" s="728"/>
      <c r="AC20" s="728"/>
      <c r="AD20" s="728"/>
      <c r="AE20" s="670"/>
      <c r="AF20" s="670"/>
      <c r="AG20" s="670"/>
      <c r="AH20" s="670"/>
    </row>
    <row r="21" spans="1:34" ht="17.149999999999999" customHeight="1" x14ac:dyDescent="0.25">
      <c r="A21" s="230" t="s">
        <v>83</v>
      </c>
      <c r="B21" s="173">
        <v>0</v>
      </c>
      <c r="C21" s="175">
        <f t="shared" si="11"/>
        <v>0</v>
      </c>
      <c r="D21" s="175">
        <f t="shared" si="3"/>
        <v>0</v>
      </c>
      <c r="E21" s="175">
        <f t="shared" si="4"/>
        <v>0</v>
      </c>
      <c r="F21" s="175">
        <f t="shared" si="5"/>
        <v>0</v>
      </c>
      <c r="G21" s="175">
        <f t="shared" si="6"/>
        <v>0</v>
      </c>
      <c r="H21" s="175">
        <f t="shared" si="7"/>
        <v>0</v>
      </c>
      <c r="I21" s="175">
        <f t="shared" si="8"/>
        <v>0</v>
      </c>
      <c r="J21" s="175">
        <f t="shared" si="9"/>
        <v>0</v>
      </c>
      <c r="K21" s="175">
        <f t="shared" si="10"/>
        <v>0</v>
      </c>
      <c r="L21" s="186">
        <f t="shared" si="1"/>
        <v>0</v>
      </c>
      <c r="M21" s="164" t="s">
        <v>204</v>
      </c>
      <c r="N21" s="729">
        <f>IF('Salary Detail'!F19="X",-B21,0)</f>
        <v>0</v>
      </c>
      <c r="O21" s="729">
        <f>IF('Salary Detail'!F19="X",-C21,0)</f>
        <v>0</v>
      </c>
      <c r="P21" s="729">
        <f>IF('Salary Detail'!F19="X",-D21,0)</f>
        <v>0</v>
      </c>
      <c r="Q21" s="729">
        <f>IF('Salary Detail'!F19="X",-E21,0)</f>
        <v>0</v>
      </c>
      <c r="R21" s="729">
        <f>IF('Salary Detail'!F19="X",-F21,0)</f>
        <v>0</v>
      </c>
      <c r="S21" s="729">
        <f>IF('Salary Detail'!F19="X",-G21,0)</f>
        <v>0</v>
      </c>
      <c r="T21" s="729">
        <f>IF('Salary Detail'!F19="X",-H21,0)</f>
        <v>0</v>
      </c>
      <c r="U21" s="729">
        <f>IF('Salary Detail'!F19="X",-I21,0)</f>
        <v>0</v>
      </c>
      <c r="V21" s="729">
        <f>IF('Salary Detail'!F19="X",-J21,0)</f>
        <v>0</v>
      </c>
      <c r="W21" s="729">
        <f>IF('Salary Detail'!F19="X",-K21,0)</f>
        <v>0</v>
      </c>
      <c r="X21" s="728"/>
      <c r="Y21" s="728"/>
      <c r="Z21" s="728"/>
      <c r="AA21" s="728"/>
      <c r="AB21" s="728"/>
      <c r="AC21" s="728"/>
      <c r="AD21" s="728"/>
      <c r="AE21" s="670"/>
      <c r="AF21" s="670"/>
      <c r="AG21" s="670"/>
      <c r="AH21" s="670"/>
    </row>
    <row r="22" spans="1:34" ht="17.149999999999999" customHeight="1" x14ac:dyDescent="0.25">
      <c r="A22" s="230" t="s">
        <v>439</v>
      </c>
      <c r="B22" s="173">
        <v>0</v>
      </c>
      <c r="C22" s="175">
        <f t="shared" si="11"/>
        <v>0</v>
      </c>
      <c r="D22" s="175">
        <f t="shared" si="3"/>
        <v>0</v>
      </c>
      <c r="E22" s="175">
        <f t="shared" si="4"/>
        <v>0</v>
      </c>
      <c r="F22" s="175">
        <f t="shared" si="5"/>
        <v>0</v>
      </c>
      <c r="G22" s="175">
        <f t="shared" si="6"/>
        <v>0</v>
      </c>
      <c r="H22" s="175">
        <f t="shared" si="7"/>
        <v>0</v>
      </c>
      <c r="I22" s="175">
        <f t="shared" si="8"/>
        <v>0</v>
      </c>
      <c r="J22" s="175">
        <f t="shared" si="9"/>
        <v>0</v>
      </c>
      <c r="K22" s="175">
        <f t="shared" si="10"/>
        <v>0</v>
      </c>
      <c r="L22" s="186">
        <f t="shared" si="1"/>
        <v>0</v>
      </c>
      <c r="M22" s="164"/>
      <c r="N22" s="729"/>
      <c r="O22" s="729"/>
      <c r="P22" s="729"/>
      <c r="Q22" s="729"/>
      <c r="R22" s="729"/>
      <c r="S22" s="729"/>
      <c r="T22" s="729"/>
      <c r="U22" s="729"/>
      <c r="V22" s="729"/>
      <c r="W22" s="729"/>
      <c r="X22" s="728"/>
      <c r="Y22" s="728"/>
      <c r="Z22" s="728"/>
      <c r="AA22" s="728"/>
      <c r="AB22" s="728"/>
      <c r="AC22" s="728"/>
      <c r="AD22" s="728"/>
      <c r="AE22" s="670"/>
      <c r="AF22" s="670"/>
      <c r="AG22" s="670"/>
      <c r="AH22" s="670"/>
    </row>
    <row r="23" spans="1:34" ht="17.149999999999999" customHeight="1" x14ac:dyDescent="0.25">
      <c r="A23" s="659" t="s">
        <v>264</v>
      </c>
      <c r="B23" s="173">
        <v>0</v>
      </c>
      <c r="C23" s="175">
        <f t="shared" si="11"/>
        <v>0</v>
      </c>
      <c r="D23" s="175">
        <f t="shared" si="3"/>
        <v>0</v>
      </c>
      <c r="E23" s="175">
        <f t="shared" si="4"/>
        <v>0</v>
      </c>
      <c r="F23" s="175">
        <f t="shared" si="5"/>
        <v>0</v>
      </c>
      <c r="G23" s="175">
        <f t="shared" si="6"/>
        <v>0</v>
      </c>
      <c r="H23" s="175">
        <f t="shared" si="7"/>
        <v>0</v>
      </c>
      <c r="I23" s="175">
        <f t="shared" si="8"/>
        <v>0</v>
      </c>
      <c r="J23" s="175">
        <f t="shared" si="9"/>
        <v>0</v>
      </c>
      <c r="K23" s="175">
        <f t="shared" si="10"/>
        <v>0</v>
      </c>
      <c r="L23" s="186">
        <f t="shared" si="1"/>
        <v>0</v>
      </c>
      <c r="M23" s="164" t="s">
        <v>204</v>
      </c>
      <c r="N23" s="729">
        <f>IF('Salary Detail'!F19="X",-B23,0)</f>
        <v>0</v>
      </c>
      <c r="O23" s="729">
        <f>IF('Salary Detail'!F19="X",-C23,0)</f>
        <v>0</v>
      </c>
      <c r="P23" s="729">
        <f>IF('Salary Detail'!F19="X",-D23,0)</f>
        <v>0</v>
      </c>
      <c r="Q23" s="729">
        <f>IF('Salary Detail'!F19="X",-E23,0)</f>
        <v>0</v>
      </c>
      <c r="R23" s="729">
        <f>IF('Salary Detail'!F19="X",-F23,0)</f>
        <v>0</v>
      </c>
      <c r="S23" s="729">
        <f>IF('Salary Detail'!F19="X",-G23,0)</f>
        <v>0</v>
      </c>
      <c r="T23" s="729">
        <f>IF('Salary Detail'!F19="X",-H23,0)</f>
        <v>0</v>
      </c>
      <c r="U23" s="729">
        <f>IF('Salary Detail'!F19="X",-I23,0)</f>
        <v>0</v>
      </c>
      <c r="V23" s="729">
        <f>IF('Salary Detail'!F19="X",-J23,0)</f>
        <v>0</v>
      </c>
      <c r="W23" s="729">
        <f>IF('Salary Detail'!F19="X",-K23,0)</f>
        <v>0</v>
      </c>
      <c r="X23" s="728"/>
      <c r="Y23" s="728"/>
      <c r="Z23" s="728"/>
      <c r="AA23" s="728"/>
      <c r="AB23" s="728"/>
      <c r="AC23" s="728"/>
      <c r="AD23" s="728"/>
      <c r="AE23" s="670"/>
      <c r="AF23" s="670"/>
      <c r="AG23" s="670"/>
      <c r="AH23" s="670"/>
    </row>
    <row r="24" spans="1:34" ht="17.149999999999999" customHeight="1" x14ac:dyDescent="0.25">
      <c r="A24" s="658" t="s">
        <v>242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186"/>
      <c r="M24" s="16"/>
      <c r="N24" s="729"/>
      <c r="O24" s="729"/>
      <c r="P24" s="729"/>
      <c r="Q24" s="729"/>
      <c r="R24" s="729"/>
      <c r="S24" s="729"/>
      <c r="T24" s="729"/>
      <c r="U24" s="729"/>
      <c r="V24" s="729"/>
      <c r="W24" s="729"/>
      <c r="X24" s="728"/>
      <c r="Y24" s="728"/>
      <c r="Z24" s="728"/>
      <c r="AA24" s="728"/>
      <c r="AB24" s="728"/>
      <c r="AC24" s="728"/>
      <c r="AD24" s="728"/>
      <c r="AE24" s="670"/>
      <c r="AF24" s="670"/>
      <c r="AG24" s="670"/>
      <c r="AH24" s="670"/>
    </row>
    <row r="25" spans="1:34" ht="17.149999999999999" customHeight="1" x14ac:dyDescent="0.25">
      <c r="A25" s="326" t="s">
        <v>87</v>
      </c>
      <c r="B25" s="173">
        <v>0</v>
      </c>
      <c r="C25" s="175">
        <f t="shared" si="11"/>
        <v>0</v>
      </c>
      <c r="D25" s="175">
        <f t="shared" si="3"/>
        <v>0</v>
      </c>
      <c r="E25" s="175">
        <f t="shared" si="4"/>
        <v>0</v>
      </c>
      <c r="F25" s="175">
        <f t="shared" si="5"/>
        <v>0</v>
      </c>
      <c r="G25" s="175">
        <f>IF($D$8&gt;5,(F25*(1+inflationpcnt)),0)</f>
        <v>0</v>
      </c>
      <c r="H25" s="175">
        <f>IF($D$8&gt;6,(G25*(1+inflationpcnt)),0)</f>
        <v>0</v>
      </c>
      <c r="I25" s="175">
        <f>IF($D$8&gt;7,(H25*(1+inflationpcnt)),0)</f>
        <v>0</v>
      </c>
      <c r="J25" s="175">
        <f>IF($D$8&gt;8,(I25*(1+inflationpcnt)),0)</f>
        <v>0</v>
      </c>
      <c r="K25" s="175">
        <f>IF($D$8&gt;9,(J25*(1+inflationpcnt)),0)</f>
        <v>0</v>
      </c>
      <c r="L25" s="186">
        <f t="shared" si="1"/>
        <v>0</v>
      </c>
      <c r="M25" s="16"/>
      <c r="N25" s="729"/>
      <c r="O25" s="729"/>
      <c r="P25" s="729"/>
      <c r="Q25" s="729"/>
      <c r="R25" s="729"/>
      <c r="S25" s="729"/>
      <c r="T25" s="729"/>
      <c r="U25" s="729"/>
      <c r="V25" s="729"/>
      <c r="W25" s="729"/>
      <c r="X25" s="728"/>
      <c r="Y25" s="728"/>
      <c r="Z25" s="728"/>
      <c r="AA25" s="728"/>
      <c r="AB25" s="728"/>
      <c r="AC25" s="728"/>
      <c r="AD25" s="728"/>
      <c r="AE25" s="670"/>
      <c r="AF25" s="670"/>
      <c r="AG25" s="670"/>
      <c r="AH25" s="670"/>
    </row>
    <row r="26" spans="1:34" ht="17.149999999999999" customHeight="1" x14ac:dyDescent="0.25">
      <c r="A26" s="327" t="s">
        <v>210</v>
      </c>
      <c r="B26" s="801">
        <f>'UH Employees'!N63</f>
        <v>0</v>
      </c>
      <c r="C26" s="175">
        <f>'UH Employees'!F123</f>
        <v>0</v>
      </c>
      <c r="D26" s="175">
        <f>'UH Employees'!N123</f>
        <v>0</v>
      </c>
      <c r="E26" s="175">
        <f>'UH Employees'!F195</f>
        <v>0</v>
      </c>
      <c r="F26" s="175">
        <f>'UH Employees'!N195</f>
        <v>0</v>
      </c>
      <c r="G26" s="175">
        <f>'UH Employees'!F267</f>
        <v>0</v>
      </c>
      <c r="H26" s="175">
        <f>'UH Employees'!N267</f>
        <v>0</v>
      </c>
      <c r="I26" s="175">
        <f>'UH Employees'!F339</f>
        <v>0</v>
      </c>
      <c r="J26" s="175">
        <f>'UH Employees'!N339</f>
        <v>0</v>
      </c>
      <c r="K26" s="175">
        <f>'UH Employees'!F411</f>
        <v>0</v>
      </c>
      <c r="L26" s="186">
        <f t="shared" si="1"/>
        <v>0</v>
      </c>
      <c r="M26" s="16"/>
      <c r="N26" s="729"/>
      <c r="O26" s="729"/>
      <c r="P26" s="729"/>
      <c r="Q26" s="729"/>
      <c r="R26" s="729"/>
      <c r="S26" s="729"/>
      <c r="T26" s="729"/>
      <c r="U26" s="729"/>
      <c r="V26" s="729"/>
      <c r="W26" s="729"/>
      <c r="X26" s="728"/>
      <c r="Y26" s="728"/>
      <c r="Z26" s="728"/>
      <c r="AA26" s="728"/>
      <c r="AB26" s="728"/>
      <c r="AC26" s="728"/>
      <c r="AD26" s="728"/>
      <c r="AE26" s="670"/>
      <c r="AF26" s="670"/>
      <c r="AG26" s="670"/>
      <c r="AH26" s="670"/>
    </row>
    <row r="27" spans="1:34" ht="17.149999999999999" customHeight="1" x14ac:dyDescent="0.25">
      <c r="A27" s="328" t="s">
        <v>243</v>
      </c>
      <c r="B27" s="173">
        <v>0</v>
      </c>
      <c r="C27" s="175">
        <f t="shared" si="11"/>
        <v>0</v>
      </c>
      <c r="D27" s="175">
        <f t="shared" si="3"/>
        <v>0</v>
      </c>
      <c r="E27" s="175">
        <f t="shared" si="4"/>
        <v>0</v>
      </c>
      <c r="F27" s="175">
        <f t="shared" si="5"/>
        <v>0</v>
      </c>
      <c r="G27" s="175">
        <f t="shared" ref="G27:G34" si="12">IF($D$8&gt;5,(F27*(1+inflationpcnt)),0)</f>
        <v>0</v>
      </c>
      <c r="H27" s="175">
        <f t="shared" ref="H27:H34" si="13">IF($D$8&gt;6,(G27*(1+inflationpcnt)),0)</f>
        <v>0</v>
      </c>
      <c r="I27" s="175">
        <f t="shared" ref="I27:I34" si="14">IF($D$8&gt;7,(H27*(1+inflationpcnt)),0)</f>
        <v>0</v>
      </c>
      <c r="J27" s="175">
        <f t="shared" ref="J27:J34" si="15">IF($D$8&gt;8,(I27*(1+inflationpcnt)),0)</f>
        <v>0</v>
      </c>
      <c r="K27" s="175">
        <f t="shared" ref="K27:K34" si="16">IF($D$8&gt;9,(J27*(1+inflationpcnt)),0)</f>
        <v>0</v>
      </c>
      <c r="L27" s="186">
        <f t="shared" si="1"/>
        <v>0</v>
      </c>
      <c r="M27" s="16"/>
      <c r="N27" s="729"/>
      <c r="O27" s="729"/>
      <c r="P27" s="729"/>
      <c r="Q27" s="729"/>
      <c r="R27" s="729"/>
      <c r="S27" s="729"/>
      <c r="T27" s="729"/>
      <c r="U27" s="729"/>
      <c r="V27" s="729"/>
      <c r="W27" s="729"/>
      <c r="X27" s="728"/>
      <c r="Y27" s="727" t="s">
        <v>89</v>
      </c>
      <c r="Z27" s="727" t="s">
        <v>90</v>
      </c>
      <c r="AA27" s="727" t="s">
        <v>91</v>
      </c>
      <c r="AB27" s="727" t="s">
        <v>92</v>
      </c>
      <c r="AC27" s="727" t="s">
        <v>165</v>
      </c>
      <c r="AD27" s="727" t="s">
        <v>166</v>
      </c>
      <c r="AE27" s="671" t="s">
        <v>167</v>
      </c>
      <c r="AF27" s="671" t="s">
        <v>168</v>
      </c>
      <c r="AG27" s="671" t="s">
        <v>169</v>
      </c>
      <c r="AH27" s="670"/>
    </row>
    <row r="28" spans="1:34" ht="17.149999999999999" customHeight="1" x14ac:dyDescent="0.25">
      <c r="A28" s="328" t="s">
        <v>244</v>
      </c>
      <c r="B28" s="173">
        <v>0</v>
      </c>
      <c r="C28" s="175">
        <f t="shared" si="11"/>
        <v>0</v>
      </c>
      <c r="D28" s="175">
        <f t="shared" si="3"/>
        <v>0</v>
      </c>
      <c r="E28" s="175">
        <f t="shared" si="4"/>
        <v>0</v>
      </c>
      <c r="F28" s="175">
        <f t="shared" si="5"/>
        <v>0</v>
      </c>
      <c r="G28" s="175">
        <f t="shared" si="12"/>
        <v>0</v>
      </c>
      <c r="H28" s="175">
        <f t="shared" si="13"/>
        <v>0</v>
      </c>
      <c r="I28" s="175">
        <f t="shared" si="14"/>
        <v>0</v>
      </c>
      <c r="J28" s="175">
        <f t="shared" si="15"/>
        <v>0</v>
      </c>
      <c r="K28" s="175">
        <f t="shared" si="16"/>
        <v>0</v>
      </c>
      <c r="L28" s="186">
        <f t="shared" si="1"/>
        <v>0</v>
      </c>
      <c r="M28" s="16"/>
      <c r="N28" s="729"/>
      <c r="O28" s="729"/>
      <c r="P28" s="729"/>
      <c r="Q28" s="729"/>
      <c r="R28" s="729"/>
      <c r="S28" s="729"/>
      <c r="T28" s="729"/>
      <c r="U28" s="729"/>
      <c r="V28" s="729"/>
      <c r="W28" s="729"/>
      <c r="X28" s="728"/>
      <c r="Y28" s="727"/>
      <c r="Z28" s="727"/>
      <c r="AA28" s="727"/>
      <c r="AB28" s="727"/>
      <c r="AC28" s="727"/>
      <c r="AD28" s="727"/>
      <c r="AE28" s="671"/>
      <c r="AF28" s="671"/>
      <c r="AG28" s="671"/>
      <c r="AH28" s="670"/>
    </row>
    <row r="29" spans="1:34" ht="17.149999999999999" customHeight="1" x14ac:dyDescent="0.25">
      <c r="A29" s="328" t="s">
        <v>358</v>
      </c>
      <c r="B29" s="173">
        <v>0</v>
      </c>
      <c r="C29" s="175">
        <f t="shared" si="11"/>
        <v>0</v>
      </c>
      <c r="D29" s="175">
        <f t="shared" ref="D29:D34" si="17">IF($D$8&gt;2,(C29*(1+inflationpcnt)),0)</f>
        <v>0</v>
      </c>
      <c r="E29" s="175">
        <f t="shared" ref="E29:E34" si="18">IF($D$8&gt;3,(D29*(1+inflationpcnt)),0)</f>
        <v>0</v>
      </c>
      <c r="F29" s="175">
        <f t="shared" ref="F29:F34" si="19">IF($D$8&gt;4,(E29*(1+inflationpcnt)),0)</f>
        <v>0</v>
      </c>
      <c r="G29" s="175">
        <f t="shared" si="12"/>
        <v>0</v>
      </c>
      <c r="H29" s="175">
        <f t="shared" si="13"/>
        <v>0</v>
      </c>
      <c r="I29" s="175">
        <f t="shared" si="14"/>
        <v>0</v>
      </c>
      <c r="J29" s="175">
        <f t="shared" si="15"/>
        <v>0</v>
      </c>
      <c r="K29" s="175">
        <f t="shared" si="16"/>
        <v>0</v>
      </c>
      <c r="L29" s="186">
        <f t="shared" si="1"/>
        <v>0</v>
      </c>
      <c r="M29" s="16"/>
      <c r="N29" s="729"/>
      <c r="O29" s="729"/>
      <c r="P29" s="729"/>
      <c r="Q29" s="729"/>
      <c r="R29" s="729"/>
      <c r="S29" s="729"/>
      <c r="T29" s="729"/>
      <c r="U29" s="729"/>
      <c r="V29" s="729"/>
      <c r="W29" s="729"/>
      <c r="X29" s="728"/>
      <c r="Y29" s="727"/>
      <c r="Z29" s="727"/>
      <c r="AA29" s="727"/>
      <c r="AB29" s="727"/>
      <c r="AC29" s="727"/>
      <c r="AD29" s="727"/>
      <c r="AE29" s="671"/>
      <c r="AF29" s="671"/>
      <c r="AG29" s="671"/>
      <c r="AH29" s="670"/>
    </row>
    <row r="30" spans="1:34" ht="17.149999999999999" customHeight="1" x14ac:dyDescent="0.25">
      <c r="A30" s="328" t="s">
        <v>245</v>
      </c>
      <c r="B30" s="173">
        <v>0</v>
      </c>
      <c r="C30" s="175">
        <f>IF($D$8&gt;1,(B30*(1+inflationpcnt)),0)</f>
        <v>0</v>
      </c>
      <c r="D30" s="175">
        <f t="shared" si="17"/>
        <v>0</v>
      </c>
      <c r="E30" s="175">
        <f t="shared" si="18"/>
        <v>0</v>
      </c>
      <c r="F30" s="175">
        <f t="shared" si="19"/>
        <v>0</v>
      </c>
      <c r="G30" s="175">
        <f t="shared" si="12"/>
        <v>0</v>
      </c>
      <c r="H30" s="175">
        <f t="shared" si="13"/>
        <v>0</v>
      </c>
      <c r="I30" s="175">
        <f t="shared" si="14"/>
        <v>0</v>
      </c>
      <c r="J30" s="175">
        <f t="shared" si="15"/>
        <v>0</v>
      </c>
      <c r="K30" s="175">
        <f t="shared" si="16"/>
        <v>0</v>
      </c>
      <c r="L30" s="186">
        <f t="shared" si="1"/>
        <v>0</v>
      </c>
      <c r="M30" s="16"/>
      <c r="N30" s="729"/>
      <c r="O30" s="729"/>
      <c r="P30" s="729"/>
      <c r="Q30" s="729"/>
      <c r="R30" s="729"/>
      <c r="S30" s="729"/>
      <c r="T30" s="729"/>
      <c r="U30" s="729"/>
      <c r="V30" s="729"/>
      <c r="W30" s="729"/>
      <c r="X30" s="728"/>
      <c r="Y30" s="727"/>
      <c r="Z30" s="727"/>
      <c r="AA30" s="727"/>
      <c r="AB30" s="727"/>
      <c r="AC30" s="727"/>
      <c r="AD30" s="727"/>
      <c r="AE30" s="671"/>
      <c r="AF30" s="671"/>
      <c r="AG30" s="671"/>
      <c r="AH30" s="670"/>
    </row>
    <row r="31" spans="1:34" ht="17.149999999999999" customHeight="1" x14ac:dyDescent="0.25">
      <c r="A31" s="329" t="s">
        <v>85</v>
      </c>
      <c r="B31" s="173">
        <v>0</v>
      </c>
      <c r="C31" s="175">
        <f>IF($D$8&gt;1,(B31*(1+inflationpcnt)),0)</f>
        <v>0</v>
      </c>
      <c r="D31" s="175">
        <f t="shared" si="17"/>
        <v>0</v>
      </c>
      <c r="E31" s="175">
        <f t="shared" si="18"/>
        <v>0</v>
      </c>
      <c r="F31" s="175">
        <f t="shared" si="19"/>
        <v>0</v>
      </c>
      <c r="G31" s="175">
        <f t="shared" si="12"/>
        <v>0</v>
      </c>
      <c r="H31" s="175">
        <f t="shared" si="13"/>
        <v>0</v>
      </c>
      <c r="I31" s="175">
        <f t="shared" si="14"/>
        <v>0</v>
      </c>
      <c r="J31" s="175">
        <f t="shared" si="15"/>
        <v>0</v>
      </c>
      <c r="K31" s="175">
        <f t="shared" si="16"/>
        <v>0</v>
      </c>
      <c r="L31" s="186">
        <f>SUM(B31:K31)</f>
        <v>0</v>
      </c>
      <c r="M31" s="164" t="s">
        <v>204</v>
      </c>
      <c r="N31" s="729">
        <f>IF('Salary Detail'!F19="X",-B31,0)</f>
        <v>0</v>
      </c>
      <c r="O31" s="729">
        <f>IF('Salary Detail'!F19="X",-C31,0)</f>
        <v>0</v>
      </c>
      <c r="P31" s="729">
        <f>IF('Salary Detail'!F19="X",-D31,0)</f>
        <v>0</v>
      </c>
      <c r="Q31" s="729">
        <f>IF('Salary Detail'!F19="X",-E31,0)</f>
        <v>0</v>
      </c>
      <c r="R31" s="729">
        <f>IF('Salary Detail'!F19="X",-F31,0)</f>
        <v>0</v>
      </c>
      <c r="S31" s="729">
        <f>IF('Salary Detail'!F19="X",-G31,0)</f>
        <v>0</v>
      </c>
      <c r="T31" s="729">
        <f>IF('Salary Detail'!F19="X",-H31,0)</f>
        <v>0</v>
      </c>
      <c r="U31" s="729">
        <f>IF('Salary Detail'!F19="X",-I31,0)</f>
        <v>0</v>
      </c>
      <c r="V31" s="729">
        <f>IF('Salary Detail'!F19="X",-J31,0)</f>
        <v>0</v>
      </c>
      <c r="W31" s="729">
        <f>IF('Salary Detail'!F19="X",-K31,0)</f>
        <v>0</v>
      </c>
      <c r="X31" s="728"/>
      <c r="Y31" s="728"/>
      <c r="Z31" s="728"/>
      <c r="AA31" s="728"/>
      <c r="AB31" s="728"/>
      <c r="AC31" s="728"/>
      <c r="AD31" s="728"/>
      <c r="AE31" s="670"/>
      <c r="AF31" s="670"/>
      <c r="AG31" s="670"/>
      <c r="AH31" s="670"/>
    </row>
    <row r="32" spans="1:34" ht="17.149999999999999" customHeight="1" x14ac:dyDescent="0.25">
      <c r="A32" s="329" t="s">
        <v>86</v>
      </c>
      <c r="B32" s="173">
        <v>0</v>
      </c>
      <c r="C32" s="175">
        <f>IF($D$8&gt;1,(B32*(1+inflationpcnt)),0)</f>
        <v>0</v>
      </c>
      <c r="D32" s="175">
        <f t="shared" si="17"/>
        <v>0</v>
      </c>
      <c r="E32" s="175">
        <f t="shared" si="18"/>
        <v>0</v>
      </c>
      <c r="F32" s="175">
        <f t="shared" si="19"/>
        <v>0</v>
      </c>
      <c r="G32" s="175">
        <f t="shared" si="12"/>
        <v>0</v>
      </c>
      <c r="H32" s="175">
        <f t="shared" si="13"/>
        <v>0</v>
      </c>
      <c r="I32" s="175">
        <f t="shared" si="14"/>
        <v>0</v>
      </c>
      <c r="J32" s="175">
        <f t="shared" si="15"/>
        <v>0</v>
      </c>
      <c r="K32" s="175">
        <f t="shared" si="16"/>
        <v>0</v>
      </c>
      <c r="L32" s="186">
        <f>SUM(B32:K32)</f>
        <v>0</v>
      </c>
      <c r="M32" s="164" t="s">
        <v>204</v>
      </c>
      <c r="N32" s="729">
        <f>IF('Salary Detail'!F19="X",-B32,0)</f>
        <v>0</v>
      </c>
      <c r="O32" s="729">
        <f>IF('Salary Detail'!F19="X",-C32,0)</f>
        <v>0</v>
      </c>
      <c r="P32" s="729">
        <f>IF('Salary Detail'!F19="X",-D32,0)</f>
        <v>0</v>
      </c>
      <c r="Q32" s="729">
        <f>IF('Salary Detail'!F19="X",-E32,0)</f>
        <v>0</v>
      </c>
      <c r="R32" s="729">
        <f>IF('Salary Detail'!F19="X",-F32,0)</f>
        <v>0</v>
      </c>
      <c r="S32" s="729">
        <f>IF('Salary Detail'!F19="X",-G32,0)</f>
        <v>0</v>
      </c>
      <c r="T32" s="729">
        <f>IF('Salary Detail'!F19="X",-H32,0)</f>
        <v>0</v>
      </c>
      <c r="U32" s="729">
        <f>IF('Salary Detail'!F19="X",-I32,0)</f>
        <v>0</v>
      </c>
      <c r="V32" s="729">
        <f>IF('Salary Detail'!F19="X",-J32,0)</f>
        <v>0</v>
      </c>
      <c r="W32" s="729">
        <f>IF('Salary Detail'!F19="X",-K32,0)</f>
        <v>0</v>
      </c>
      <c r="X32" s="728"/>
      <c r="Y32" s="728"/>
      <c r="Z32" s="728"/>
      <c r="AA32" s="728"/>
      <c r="AB32" s="728"/>
      <c r="AC32" s="728"/>
      <c r="AD32" s="728"/>
      <c r="AE32" s="670"/>
      <c r="AF32" s="670"/>
      <c r="AG32" s="670"/>
      <c r="AH32" s="670"/>
    </row>
    <row r="33" spans="1:34" ht="17.149999999999999" customHeight="1" x14ac:dyDescent="0.25">
      <c r="A33" s="330" t="s">
        <v>93</v>
      </c>
      <c r="B33" s="173">
        <v>0</v>
      </c>
      <c r="C33" s="175">
        <f>IF($D$8&gt;1,(B33*(1+inflationpcnt)),0)</f>
        <v>0</v>
      </c>
      <c r="D33" s="175">
        <f t="shared" si="17"/>
        <v>0</v>
      </c>
      <c r="E33" s="175">
        <f t="shared" si="18"/>
        <v>0</v>
      </c>
      <c r="F33" s="175">
        <f t="shared" si="19"/>
        <v>0</v>
      </c>
      <c r="G33" s="175">
        <f t="shared" si="12"/>
        <v>0</v>
      </c>
      <c r="H33" s="175">
        <f t="shared" si="13"/>
        <v>0</v>
      </c>
      <c r="I33" s="175">
        <f t="shared" si="14"/>
        <v>0</v>
      </c>
      <c r="J33" s="175">
        <f t="shared" si="15"/>
        <v>0</v>
      </c>
      <c r="K33" s="175">
        <f t="shared" si="16"/>
        <v>0</v>
      </c>
      <c r="L33" s="186">
        <f t="shared" si="1"/>
        <v>0</v>
      </c>
      <c r="M33" s="164" t="s">
        <v>204</v>
      </c>
      <c r="N33" s="729">
        <f>IF('Salary Detail'!F19="X",-B33,0)</f>
        <v>0</v>
      </c>
      <c r="O33" s="729">
        <f>IF('Salary Detail'!F19="X",-C33,0)</f>
        <v>0</v>
      </c>
      <c r="P33" s="729">
        <f>IF('Salary Detail'!F19="X",-D33,0)</f>
        <v>0</v>
      </c>
      <c r="Q33" s="729">
        <f>IF('Salary Detail'!F19="X",-E33,0)</f>
        <v>0</v>
      </c>
      <c r="R33" s="729">
        <f>IF('Salary Detail'!F19="X",-F33,0)</f>
        <v>0</v>
      </c>
      <c r="S33" s="729">
        <f>IF('Salary Detail'!F19="X",-G33,0)</f>
        <v>0</v>
      </c>
      <c r="T33" s="729">
        <f>IF('Salary Detail'!F19="X",-H33,0)</f>
        <v>0</v>
      </c>
      <c r="U33" s="729">
        <f>IF('Salary Detail'!F19="X",-I33,0)</f>
        <v>0</v>
      </c>
      <c r="V33" s="729">
        <f>IF('Salary Detail'!F19="X",-J33,0)</f>
        <v>0</v>
      </c>
      <c r="W33" s="729">
        <f>IF('Salary Detail'!F19="X",-K33,0)</f>
        <v>0</v>
      </c>
      <c r="X33" s="728"/>
      <c r="Y33" s="727" t="s">
        <v>94</v>
      </c>
      <c r="Z33" s="727" t="s">
        <v>95</v>
      </c>
      <c r="AA33" s="727" t="s">
        <v>96</v>
      </c>
      <c r="AB33" s="727" t="s">
        <v>97</v>
      </c>
      <c r="AC33" s="727" t="s">
        <v>160</v>
      </c>
      <c r="AD33" s="727" t="s">
        <v>161</v>
      </c>
      <c r="AE33" s="671" t="s">
        <v>162</v>
      </c>
      <c r="AF33" s="671" t="s">
        <v>163</v>
      </c>
      <c r="AG33" s="671" t="s">
        <v>164</v>
      </c>
      <c r="AH33" s="670"/>
    </row>
    <row r="34" spans="1:34" ht="17.149999999999999" customHeight="1" x14ac:dyDescent="0.25">
      <c r="A34" s="331" t="s">
        <v>246</v>
      </c>
      <c r="B34" s="173">
        <v>0</v>
      </c>
      <c r="C34" s="175">
        <f>IF($D$8&gt;1,(B34*(1+inflationpcnt)),0)</f>
        <v>0</v>
      </c>
      <c r="D34" s="175">
        <f t="shared" si="17"/>
        <v>0</v>
      </c>
      <c r="E34" s="175">
        <f t="shared" si="18"/>
        <v>0</v>
      </c>
      <c r="F34" s="175">
        <f t="shared" si="19"/>
        <v>0</v>
      </c>
      <c r="G34" s="175">
        <f t="shared" si="12"/>
        <v>0</v>
      </c>
      <c r="H34" s="175">
        <f t="shared" si="13"/>
        <v>0</v>
      </c>
      <c r="I34" s="175">
        <f t="shared" si="14"/>
        <v>0</v>
      </c>
      <c r="J34" s="175">
        <f t="shared" si="15"/>
        <v>0</v>
      </c>
      <c r="K34" s="175">
        <f t="shared" si="16"/>
        <v>0</v>
      </c>
      <c r="L34" s="186">
        <f t="shared" si="1"/>
        <v>0</v>
      </c>
      <c r="M34" s="16"/>
      <c r="N34" s="729"/>
      <c r="O34" s="729"/>
      <c r="P34" s="729"/>
      <c r="Q34" s="729"/>
      <c r="R34" s="729"/>
      <c r="S34" s="729"/>
      <c r="T34" s="729"/>
      <c r="U34" s="729"/>
      <c r="V34" s="729"/>
      <c r="W34" s="729"/>
      <c r="X34" s="728"/>
      <c r="Y34" s="727"/>
      <c r="Z34" s="727"/>
      <c r="AA34" s="727"/>
      <c r="AB34" s="727"/>
      <c r="AC34" s="727"/>
      <c r="AD34" s="727"/>
      <c r="AE34" s="671"/>
      <c r="AF34" s="671"/>
      <c r="AG34" s="671"/>
      <c r="AH34" s="670"/>
    </row>
    <row r="35" spans="1:34" ht="17.149999999999999" customHeight="1" x14ac:dyDescent="0.25">
      <c r="A35" s="332" t="s">
        <v>247</v>
      </c>
      <c r="B35" s="333">
        <f t="shared" ref="B35:K35" si="20">SUM(B25:B34)</f>
        <v>0</v>
      </c>
      <c r="C35" s="333">
        <f t="shared" si="20"/>
        <v>0</v>
      </c>
      <c r="D35" s="333">
        <f t="shared" si="20"/>
        <v>0</v>
      </c>
      <c r="E35" s="333">
        <f t="shared" si="20"/>
        <v>0</v>
      </c>
      <c r="F35" s="333">
        <f t="shared" si="20"/>
        <v>0</v>
      </c>
      <c r="G35" s="333">
        <f t="shared" si="20"/>
        <v>0</v>
      </c>
      <c r="H35" s="333">
        <f t="shared" si="20"/>
        <v>0</v>
      </c>
      <c r="I35" s="333">
        <f t="shared" si="20"/>
        <v>0</v>
      </c>
      <c r="J35" s="333">
        <f t="shared" si="20"/>
        <v>0</v>
      </c>
      <c r="K35" s="333">
        <f t="shared" si="20"/>
        <v>0</v>
      </c>
      <c r="L35" s="333">
        <f>SUM(L25:L34)</f>
        <v>0</v>
      </c>
      <c r="M35" s="15"/>
      <c r="N35" s="729"/>
      <c r="O35" s="729"/>
      <c r="P35" s="729"/>
      <c r="Q35" s="729"/>
      <c r="R35" s="729"/>
      <c r="S35" s="729"/>
      <c r="T35" s="729"/>
      <c r="U35" s="729"/>
      <c r="V35" s="729"/>
      <c r="W35" s="729"/>
      <c r="X35" s="728"/>
      <c r="Y35" s="727"/>
      <c r="Z35" s="727"/>
      <c r="AA35" s="727"/>
      <c r="AB35" s="727"/>
      <c r="AC35" s="727"/>
      <c r="AD35" s="727"/>
      <c r="AE35" s="671"/>
      <c r="AF35" s="671"/>
      <c r="AG35" s="671"/>
      <c r="AH35" s="670"/>
    </row>
    <row r="36" spans="1:34" ht="17.149999999999999" customHeight="1" x14ac:dyDescent="0.25">
      <c r="A36" s="332" t="s">
        <v>370</v>
      </c>
      <c r="B36" s="333">
        <f>B16+(SUM(B17:B23))+B35</f>
        <v>0</v>
      </c>
      <c r="C36" s="333">
        <f t="shared" ref="C36:L36" si="21">+C16+(SUM(C17:C23))+C35</f>
        <v>0</v>
      </c>
      <c r="D36" s="333">
        <f t="shared" si="21"/>
        <v>0</v>
      </c>
      <c r="E36" s="333">
        <f t="shared" si="21"/>
        <v>0</v>
      </c>
      <c r="F36" s="333">
        <f t="shared" si="21"/>
        <v>0</v>
      </c>
      <c r="G36" s="333">
        <f t="shared" si="21"/>
        <v>0</v>
      </c>
      <c r="H36" s="333">
        <f t="shared" si="21"/>
        <v>0</v>
      </c>
      <c r="I36" s="333">
        <f t="shared" si="21"/>
        <v>0</v>
      </c>
      <c r="J36" s="333">
        <f t="shared" si="21"/>
        <v>0</v>
      </c>
      <c r="K36" s="333">
        <f t="shared" si="21"/>
        <v>0</v>
      </c>
      <c r="L36" s="333">
        <f t="shared" si="21"/>
        <v>0</v>
      </c>
      <c r="M36" s="16" t="s">
        <v>371</v>
      </c>
      <c r="N36" s="729"/>
      <c r="O36" s="729"/>
      <c r="P36" s="729"/>
      <c r="Q36" s="729"/>
      <c r="R36" s="729"/>
      <c r="S36" s="729"/>
      <c r="T36" s="729"/>
      <c r="U36" s="729"/>
      <c r="V36" s="729"/>
      <c r="W36" s="729"/>
      <c r="X36" s="728"/>
      <c r="Y36" s="727"/>
      <c r="Z36" s="727"/>
      <c r="AA36" s="727"/>
      <c r="AB36" s="727"/>
      <c r="AC36" s="727"/>
      <c r="AD36" s="727"/>
      <c r="AE36" s="671"/>
      <c r="AF36" s="671"/>
      <c r="AG36" s="671"/>
      <c r="AH36" s="670"/>
    </row>
    <row r="37" spans="1:34" ht="17.149999999999999" customHeight="1" x14ac:dyDescent="0.25">
      <c r="A37" s="166" t="s">
        <v>216</v>
      </c>
      <c r="B37" s="174">
        <f>Subcontracts!D61</f>
        <v>0</v>
      </c>
      <c r="C37" s="174">
        <f>Subcontracts!E61</f>
        <v>0</v>
      </c>
      <c r="D37" s="174">
        <f>Subcontracts!F61</f>
        <v>0</v>
      </c>
      <c r="E37" s="174">
        <f>Subcontracts!G61</f>
        <v>0</v>
      </c>
      <c r="F37" s="174">
        <f>Subcontracts!H61</f>
        <v>0</v>
      </c>
      <c r="G37" s="174">
        <f>Subcontracts!I61</f>
        <v>0</v>
      </c>
      <c r="H37" s="174">
        <f>Subcontracts!J61</f>
        <v>0</v>
      </c>
      <c r="I37" s="174">
        <f>Subcontracts!K61</f>
        <v>0</v>
      </c>
      <c r="J37" s="174">
        <f>Subcontracts!L61</f>
        <v>0</v>
      </c>
      <c r="K37" s="174">
        <f>Subcontracts!M61</f>
        <v>0</v>
      </c>
      <c r="L37" s="174">
        <f>SUM(B37:K37)</f>
        <v>0</v>
      </c>
      <c r="M37" s="334">
        <v>25000</v>
      </c>
      <c r="N37" s="729">
        <f>IF('Salary Detail'!F19="X",[3]Subcontracts!D63,0)</f>
        <v>0</v>
      </c>
      <c r="O37" s="729">
        <f>IF('Salary Detail'!F19="X",[3]Subcontracts!E63,0)</f>
        <v>0</v>
      </c>
      <c r="P37" s="729">
        <f>IF('Salary Detail'!F19="X",[3]Subcontracts!F63,0)</f>
        <v>0</v>
      </c>
      <c r="Q37" s="729">
        <f>IF('Salary Detail'!F19="X",[3]Subcontracts!G63,0)</f>
        <v>0</v>
      </c>
      <c r="R37" s="729">
        <f>IF('Salary Detail'!F19="X",[3]Subcontracts!H63,0)</f>
        <v>0</v>
      </c>
      <c r="S37" s="729">
        <f>IF('Salary Detail'!F19="X",[3]Subcontracts!I63,0)</f>
        <v>0</v>
      </c>
      <c r="T37" s="729">
        <f>IF('Salary Detail'!F19="X",[3]Subcontracts!J63,0)</f>
        <v>0</v>
      </c>
      <c r="U37" s="729">
        <f>IF('Salary Detail'!F19="X",[3]Subcontracts!K63,0)</f>
        <v>0</v>
      </c>
      <c r="V37" s="729">
        <f>IF('Salary Detail'!F19="X",[3]Subcontracts!L63,0)</f>
        <v>0</v>
      </c>
      <c r="W37" s="729">
        <f>IF('Salary Detail'!F19="X",[3]Subcontracts!M63,0)</f>
        <v>0</v>
      </c>
      <c r="X37" s="728"/>
      <c r="Y37" s="729">
        <f>B37+C37</f>
        <v>0</v>
      </c>
      <c r="Z37" s="729">
        <f t="shared" ref="Z37:AG37" si="22">D37+Y37</f>
        <v>0</v>
      </c>
      <c r="AA37" s="729">
        <f t="shared" si="22"/>
        <v>0</v>
      </c>
      <c r="AB37" s="729">
        <f t="shared" si="22"/>
        <v>0</v>
      </c>
      <c r="AC37" s="729">
        <f t="shared" si="22"/>
        <v>0</v>
      </c>
      <c r="AD37" s="729">
        <f t="shared" si="22"/>
        <v>0</v>
      </c>
      <c r="AE37" s="669">
        <f t="shared" si="22"/>
        <v>0</v>
      </c>
      <c r="AF37" s="669">
        <f t="shared" si="22"/>
        <v>0</v>
      </c>
      <c r="AG37" s="669">
        <f t="shared" si="22"/>
        <v>0</v>
      </c>
      <c r="AH37" s="670"/>
    </row>
    <row r="38" spans="1:34" ht="17.149999999999999" customHeight="1" x14ac:dyDescent="0.3">
      <c r="A38" s="520" t="s">
        <v>220</v>
      </c>
      <c r="B38" s="516">
        <f>SUM(B16:B23)+SUM(B35+B37)</f>
        <v>0</v>
      </c>
      <c r="C38" s="516">
        <f t="shared" ref="C38:K38" si="23">SUM(C16:C23)+SUM(C35+C37)</f>
        <v>0</v>
      </c>
      <c r="D38" s="516">
        <f t="shared" si="23"/>
        <v>0</v>
      </c>
      <c r="E38" s="516">
        <f t="shared" si="23"/>
        <v>0</v>
      </c>
      <c r="F38" s="516">
        <f t="shared" si="23"/>
        <v>0</v>
      </c>
      <c r="G38" s="516">
        <f t="shared" si="23"/>
        <v>0</v>
      </c>
      <c r="H38" s="516">
        <f t="shared" si="23"/>
        <v>0</v>
      </c>
      <c r="I38" s="516">
        <f t="shared" si="23"/>
        <v>0</v>
      </c>
      <c r="J38" s="516">
        <f t="shared" si="23"/>
        <v>0</v>
      </c>
      <c r="K38" s="516">
        <f t="shared" si="23"/>
        <v>0</v>
      </c>
      <c r="L38" s="518">
        <f>SUM(L16:L23)+L35+L37</f>
        <v>0</v>
      </c>
      <c r="M38" s="519" t="s">
        <v>355</v>
      </c>
      <c r="N38" s="729">
        <f t="shared" ref="N38:W38" si="24">SUM(N18:N37)</f>
        <v>0</v>
      </c>
      <c r="O38" s="729">
        <f t="shared" si="24"/>
        <v>0</v>
      </c>
      <c r="P38" s="729">
        <f t="shared" si="24"/>
        <v>0</v>
      </c>
      <c r="Q38" s="729">
        <f t="shared" si="24"/>
        <v>0</v>
      </c>
      <c r="R38" s="729">
        <f t="shared" si="24"/>
        <v>0</v>
      </c>
      <c r="S38" s="729">
        <f t="shared" si="24"/>
        <v>0</v>
      </c>
      <c r="T38" s="729">
        <f t="shared" si="24"/>
        <v>0</v>
      </c>
      <c r="U38" s="729">
        <f t="shared" si="24"/>
        <v>0</v>
      </c>
      <c r="V38" s="729">
        <f t="shared" si="24"/>
        <v>0</v>
      </c>
      <c r="W38" s="729">
        <f t="shared" si="24"/>
        <v>0</v>
      </c>
      <c r="X38" s="728"/>
      <c r="Y38" s="728"/>
      <c r="Z38" s="728"/>
      <c r="AA38" s="728"/>
      <c r="AB38" s="728"/>
      <c r="AC38" s="728"/>
      <c r="AD38" s="728"/>
      <c r="AE38" s="670"/>
      <c r="AF38" s="670"/>
      <c r="AG38" s="670"/>
      <c r="AH38" s="670"/>
    </row>
    <row r="39" spans="1:34" ht="17.149999999999999" customHeight="1" x14ac:dyDescent="0.3">
      <c r="A39" s="662" t="s">
        <v>399</v>
      </c>
      <c r="B39" s="663">
        <f t="shared" ref="B39:K39" si="25">IF(OR($I$7="x",$I$7="X"),25000*SUM(ROUND(SUM((B$16:B$23),(B$35+B$37))/25000,0)),0)</f>
        <v>0</v>
      </c>
      <c r="C39" s="663">
        <f t="shared" si="25"/>
        <v>0</v>
      </c>
      <c r="D39" s="663">
        <f t="shared" si="25"/>
        <v>0</v>
      </c>
      <c r="E39" s="663">
        <f t="shared" si="25"/>
        <v>0</v>
      </c>
      <c r="F39" s="663">
        <f t="shared" si="25"/>
        <v>0</v>
      </c>
      <c r="G39" s="663">
        <f t="shared" si="25"/>
        <v>0</v>
      </c>
      <c r="H39" s="663">
        <f t="shared" si="25"/>
        <v>0</v>
      </c>
      <c r="I39" s="663">
        <f t="shared" si="25"/>
        <v>0</v>
      </c>
      <c r="J39" s="663">
        <f t="shared" si="25"/>
        <v>0</v>
      </c>
      <c r="K39" s="663">
        <f t="shared" si="25"/>
        <v>0</v>
      </c>
      <c r="L39" s="664">
        <f>SUM(B39:K39)</f>
        <v>0</v>
      </c>
      <c r="M39" s="519"/>
      <c r="N39" s="729"/>
      <c r="O39" s="729"/>
      <c r="P39" s="729"/>
      <c r="Q39" s="729"/>
      <c r="R39" s="729"/>
      <c r="S39" s="729"/>
      <c r="T39" s="729"/>
      <c r="U39" s="729"/>
      <c r="V39" s="729"/>
      <c r="W39" s="729"/>
      <c r="X39" s="728"/>
      <c r="Y39" s="728"/>
      <c r="Z39" s="728"/>
      <c r="AA39" s="728"/>
      <c r="AB39" s="728"/>
      <c r="AC39" s="728"/>
      <c r="AD39" s="728"/>
      <c r="AE39" s="670"/>
      <c r="AF39" s="670"/>
      <c r="AG39" s="670"/>
      <c r="AH39" s="670"/>
    </row>
    <row r="40" spans="1:34" ht="17.149999999999999" customHeight="1" x14ac:dyDescent="0.25">
      <c r="A40" s="248" t="s">
        <v>217</v>
      </c>
      <c r="B40" s="646">
        <f>Subcontracts!D62</f>
        <v>0</v>
      </c>
      <c r="C40" s="646">
        <f>Subcontracts!E62</f>
        <v>0</v>
      </c>
      <c r="D40" s="646">
        <f>Subcontracts!F62</f>
        <v>0</v>
      </c>
      <c r="E40" s="646">
        <f>Subcontracts!G62</f>
        <v>0</v>
      </c>
      <c r="F40" s="646">
        <f>Subcontracts!H62</f>
        <v>0</v>
      </c>
      <c r="G40" s="646">
        <f>Subcontracts!I62</f>
        <v>0</v>
      </c>
      <c r="H40" s="646">
        <f>Subcontracts!J62</f>
        <v>0</v>
      </c>
      <c r="I40" s="646">
        <f>Subcontracts!K62</f>
        <v>0</v>
      </c>
      <c r="J40" s="646">
        <f>Subcontracts!L62</f>
        <v>0</v>
      </c>
      <c r="K40" s="646">
        <f>Subcontracts!M62</f>
        <v>0</v>
      </c>
      <c r="L40" s="646">
        <f>SUM(B40:K40)</f>
        <v>0</v>
      </c>
      <c r="M40" s="15"/>
      <c r="N40" s="729"/>
      <c r="O40" s="729"/>
      <c r="P40" s="729"/>
      <c r="Q40" s="729"/>
      <c r="R40" s="729"/>
      <c r="S40" s="729"/>
      <c r="T40" s="729"/>
      <c r="U40" s="729"/>
      <c r="V40" s="729"/>
      <c r="W40" s="729"/>
      <c r="X40" s="728"/>
      <c r="Y40" s="728"/>
      <c r="Z40" s="728"/>
      <c r="AA40" s="728"/>
      <c r="AB40" s="728"/>
      <c r="AC40" s="728"/>
      <c r="AD40" s="728"/>
      <c r="AE40" s="670"/>
      <c r="AF40" s="670"/>
      <c r="AG40" s="670"/>
      <c r="AH40" s="670"/>
    </row>
    <row r="41" spans="1:34" ht="21" customHeight="1" x14ac:dyDescent="0.3">
      <c r="A41" s="523" t="s">
        <v>221</v>
      </c>
      <c r="B41" s="521">
        <f>IF(OR($I$7="x",$I$7="X"),SUM(B$39+B$40),SUM(B$38+B$40))</f>
        <v>0</v>
      </c>
      <c r="C41" s="521">
        <f t="shared" ref="C41:K41" si="26">IF(OR($I$7="x",$I$7="X"),SUM(C$39+C$40),SUM(C$38+C$40))</f>
        <v>0</v>
      </c>
      <c r="D41" s="521">
        <f t="shared" si="26"/>
        <v>0</v>
      </c>
      <c r="E41" s="521">
        <f t="shared" si="26"/>
        <v>0</v>
      </c>
      <c r="F41" s="521">
        <f t="shared" si="26"/>
        <v>0</v>
      </c>
      <c r="G41" s="521">
        <f t="shared" si="26"/>
        <v>0</v>
      </c>
      <c r="H41" s="521">
        <f t="shared" si="26"/>
        <v>0</v>
      </c>
      <c r="I41" s="521">
        <f t="shared" si="26"/>
        <v>0</v>
      </c>
      <c r="J41" s="521">
        <f t="shared" si="26"/>
        <v>0</v>
      </c>
      <c r="K41" s="521">
        <f t="shared" si="26"/>
        <v>0</v>
      </c>
      <c r="L41" s="521">
        <f t="shared" ref="L41:L48" si="27">SUM(B41:K41)</f>
        <v>0</v>
      </c>
      <c r="M41" s="522"/>
      <c r="N41" s="729"/>
      <c r="O41" s="729"/>
      <c r="P41" s="729"/>
      <c r="Q41" s="729"/>
      <c r="R41" s="729"/>
      <c r="S41" s="729"/>
      <c r="T41" s="729"/>
      <c r="U41" s="729"/>
      <c r="V41" s="729"/>
      <c r="W41" s="729"/>
      <c r="X41" s="728"/>
      <c r="Y41" s="728"/>
      <c r="Z41" s="728"/>
      <c r="AA41" s="728"/>
      <c r="AB41" s="728"/>
      <c r="AC41" s="728"/>
      <c r="AD41" s="728"/>
      <c r="AE41" s="670"/>
      <c r="AF41" s="670"/>
      <c r="AG41" s="670"/>
      <c r="AH41" s="670"/>
    </row>
    <row r="42" spans="1:34" ht="6.75" customHeight="1" x14ac:dyDescent="0.25">
      <c r="A42" s="741"/>
      <c r="B42" s="742"/>
      <c r="C42" s="742"/>
      <c r="D42" s="742"/>
      <c r="E42" s="742"/>
      <c r="F42" s="742"/>
      <c r="G42" s="742"/>
      <c r="H42" s="742"/>
      <c r="I42" s="742"/>
      <c r="J42" s="742"/>
      <c r="K42" s="742"/>
      <c r="L42" s="743"/>
      <c r="M42" s="496"/>
      <c r="N42" s="729"/>
      <c r="O42" s="729"/>
      <c r="P42" s="729"/>
      <c r="Q42" s="729"/>
      <c r="R42" s="729"/>
      <c r="S42" s="729"/>
      <c r="T42" s="729"/>
      <c r="U42" s="729"/>
      <c r="V42" s="729"/>
      <c r="W42" s="729"/>
      <c r="X42" s="728"/>
      <c r="Y42" s="728"/>
      <c r="Z42" s="728"/>
      <c r="AA42" s="728"/>
      <c r="AB42" s="728"/>
      <c r="AC42" s="728"/>
      <c r="AD42" s="728"/>
      <c r="AE42" s="670"/>
      <c r="AF42" s="670"/>
      <c r="AG42" s="670"/>
      <c r="AH42" s="670"/>
    </row>
    <row r="43" spans="1:34" ht="17.25" customHeight="1" x14ac:dyDescent="0.25">
      <c r="A43" s="493"/>
      <c r="B43" s="647"/>
      <c r="C43" s="647"/>
      <c r="D43" s="647"/>
      <c r="E43" s="647"/>
      <c r="F43" s="647"/>
      <c r="G43" s="647"/>
      <c r="H43" s="647"/>
      <c r="I43" s="647"/>
      <c r="J43" s="647"/>
      <c r="K43" s="647"/>
      <c r="L43" s="647"/>
      <c r="M43" s="496"/>
      <c r="N43" s="729"/>
      <c r="O43" s="729"/>
      <c r="P43" s="729"/>
      <c r="Q43" s="729"/>
      <c r="R43" s="729"/>
      <c r="S43" s="729"/>
      <c r="T43" s="729"/>
      <c r="U43" s="729"/>
      <c r="V43" s="729"/>
      <c r="W43" s="729"/>
      <c r="X43" s="728"/>
      <c r="Y43" s="728"/>
      <c r="Z43" s="728"/>
      <c r="AA43" s="728"/>
      <c r="AB43" s="728"/>
      <c r="AC43" s="728"/>
      <c r="AD43" s="728"/>
      <c r="AE43" s="670"/>
      <c r="AF43" s="670"/>
      <c r="AG43" s="670"/>
      <c r="AH43" s="670"/>
    </row>
    <row r="44" spans="1:34" ht="17.149999999999999" customHeight="1" x14ac:dyDescent="0.25">
      <c r="A44" s="493" t="s">
        <v>456</v>
      </c>
      <c r="B44" s="646">
        <f>IF('Salary Detail'!$B$20=0,(IF(('Salary Detail'!$B$15="X")*AND('Salary Detail'!$B$17="X"),(B45-B42),0)),0)</f>
        <v>0</v>
      </c>
      <c r="C44" s="646">
        <f>IF('Salary Detail'!$B$20=0,(IF('Salary Detail'!$B$20=0,(IF(('Salary Detail'!$B$15="X")*AND('Salary Detail'!$B$17="X"),SUM(C45-C42),0)),0)),0)</f>
        <v>0</v>
      </c>
      <c r="D44" s="646">
        <f>IF('Salary Detail'!$B$20=0,(IF('Salary Detail'!$B$20=0,(IF(('Salary Detail'!$B$15="X")*AND('Salary Detail'!$B$17="X"),SUM(D45-D42),0)),0)),0)</f>
        <v>0</v>
      </c>
      <c r="E44" s="646">
        <f>IF('Salary Detail'!$B$20=0,(IF('Salary Detail'!$B$20=0,(IF(('Salary Detail'!$B$15="X")*AND('Salary Detail'!$B$17="X"),SUM(E45-E42),0)),0)),0)</f>
        <v>0</v>
      </c>
      <c r="F44" s="646">
        <f>IF('Salary Detail'!$B$20=0,(IF('Salary Detail'!$B$20=0,(IF(('Salary Detail'!$B$15="X")*AND('Salary Detail'!$B$17="X"),SUM(F45-F42),0)),0)),0)</f>
        <v>0</v>
      </c>
      <c r="G44" s="646">
        <f>IF('Salary Detail'!$B$20=0,(IF('Salary Detail'!$B$20=0,(IF(('Salary Detail'!$B$15="X")*AND('Salary Detail'!$B$17="X"),SUM(G45-G42),0)),0)),0)</f>
        <v>0</v>
      </c>
      <c r="H44" s="646">
        <f>IF('Salary Detail'!$B$20=0,(IF('Salary Detail'!$B$20=0,(IF(('Salary Detail'!$B$15="X")*AND('Salary Detail'!$B$17="X"),SUM(H45-H42),0)),0)),0)</f>
        <v>0</v>
      </c>
      <c r="I44" s="646">
        <f>IF('Salary Detail'!$B$20=0,(IF('Salary Detail'!$B$20=0,(IF(('Salary Detail'!$B$15="X")*AND('Salary Detail'!$B$17="X"),SUM(I45-I42),0)),0)),0)</f>
        <v>0</v>
      </c>
      <c r="J44" s="646">
        <f>IF('Salary Detail'!$B$20=0,(IF('Salary Detail'!$B$20=0,(IF(('Salary Detail'!$B$15="X")*AND('Salary Detail'!$B$17="X"),SUM(J45-J42),0)),0)),0)</f>
        <v>0</v>
      </c>
      <c r="K44" s="646">
        <f>IF('Salary Detail'!$B$20=0,(IF('Salary Detail'!$B$20=0,(IF(('Salary Detail'!$B$15="X")*AND('Salary Detail'!$B$17="X"),SUM(K45-K42),0)),0)),0)</f>
        <v>0</v>
      </c>
      <c r="L44" s="644">
        <f t="shared" si="27"/>
        <v>0</v>
      </c>
      <c r="M44" s="495" t="s">
        <v>343</v>
      </c>
      <c r="N44" s="729"/>
      <c r="O44" s="729"/>
      <c r="P44" s="729"/>
      <c r="Q44" s="729"/>
      <c r="R44" s="729"/>
      <c r="S44" s="729"/>
      <c r="T44" s="729"/>
      <c r="U44" s="729"/>
      <c r="V44" s="729"/>
      <c r="W44" s="729"/>
      <c r="X44" s="728"/>
      <c r="Y44" s="728"/>
      <c r="Z44" s="728"/>
      <c r="AA44" s="728"/>
      <c r="AB44" s="728"/>
      <c r="AC44" s="728"/>
      <c r="AD44" s="728"/>
      <c r="AE44" s="670"/>
      <c r="AF44" s="670"/>
      <c r="AG44" s="670"/>
      <c r="AH44" s="670"/>
    </row>
    <row r="45" spans="1:34" ht="17.149999999999999" customHeight="1" x14ac:dyDescent="0.3">
      <c r="A45" s="524" t="s">
        <v>339</v>
      </c>
      <c r="B45" s="525">
        <f>B41+N38+Subcontracts!D63</f>
        <v>0</v>
      </c>
      <c r="C45" s="525">
        <f>C41+O38+Subcontracts!E63</f>
        <v>0</v>
      </c>
      <c r="D45" s="525">
        <f>D41+P38+Subcontracts!F63</f>
        <v>0</v>
      </c>
      <c r="E45" s="525">
        <f>E41+Q38+Subcontracts!G63</f>
        <v>0</v>
      </c>
      <c r="F45" s="525">
        <f>F41+R38+Subcontracts!H63</f>
        <v>0</v>
      </c>
      <c r="G45" s="525">
        <f>G41+S38+Subcontracts!I63</f>
        <v>0</v>
      </c>
      <c r="H45" s="525">
        <f>H41+T38+Subcontracts!J63</f>
        <v>0</v>
      </c>
      <c r="I45" s="525">
        <f>I41+U38+Subcontracts!K63</f>
        <v>0</v>
      </c>
      <c r="J45" s="525">
        <f>J41+V38+Subcontracts!L63</f>
        <v>0</v>
      </c>
      <c r="K45" s="525">
        <f>K41+W38+Subcontracts!M63</f>
        <v>0</v>
      </c>
      <c r="L45" s="525">
        <f>SUM(B45:K45)</f>
        <v>0</v>
      </c>
      <c r="M45" s="526" t="s">
        <v>344</v>
      </c>
      <c r="N45" s="729"/>
      <c r="O45" s="729"/>
      <c r="P45" s="729"/>
      <c r="Q45" s="728"/>
      <c r="R45" s="728"/>
      <c r="S45" s="728"/>
      <c r="T45" s="728"/>
      <c r="U45" s="728"/>
      <c r="V45" s="728"/>
      <c r="W45" s="728"/>
      <c r="X45" s="728"/>
      <c r="Y45" s="728"/>
      <c r="Z45" s="728"/>
      <c r="AA45" s="728"/>
      <c r="AB45" s="728"/>
      <c r="AC45" s="728"/>
      <c r="AD45" s="728"/>
      <c r="AE45" s="670"/>
      <c r="AF45" s="670"/>
      <c r="AG45" s="670"/>
      <c r="AH45" s="670"/>
    </row>
    <row r="46" spans="1:34" ht="17.149999999999999" customHeight="1" x14ac:dyDescent="0.3">
      <c r="A46" s="524"/>
      <c r="B46" s="660"/>
      <c r="C46" s="660"/>
      <c r="D46" s="660"/>
      <c r="E46" s="660"/>
      <c r="F46" s="660"/>
      <c r="G46" s="660"/>
      <c r="H46" s="660"/>
      <c r="I46" s="660"/>
      <c r="J46" s="660"/>
      <c r="K46" s="660"/>
      <c r="L46" s="660"/>
      <c r="M46" s="526"/>
      <c r="N46" s="729"/>
      <c r="O46" s="729"/>
      <c r="P46" s="729"/>
      <c r="Q46" s="728"/>
      <c r="R46" s="728"/>
      <c r="S46" s="728"/>
      <c r="T46" s="728"/>
      <c r="U46" s="728"/>
      <c r="V46" s="728"/>
      <c r="W46" s="728"/>
      <c r="X46" s="728"/>
      <c r="Y46" s="728"/>
      <c r="Z46" s="728"/>
      <c r="AA46" s="728"/>
      <c r="AB46" s="728"/>
      <c r="AC46" s="728"/>
      <c r="AD46" s="728"/>
      <c r="AE46" s="670"/>
      <c r="AF46" s="670"/>
      <c r="AG46" s="670"/>
      <c r="AH46" s="670"/>
    </row>
    <row r="47" spans="1:34" ht="7.5" customHeight="1" x14ac:dyDescent="0.25">
      <c r="A47" s="741"/>
      <c r="B47" s="744"/>
      <c r="C47" s="744"/>
      <c r="D47" s="744"/>
      <c r="E47" s="744"/>
      <c r="F47" s="744"/>
      <c r="G47" s="744"/>
      <c r="H47" s="744"/>
      <c r="I47" s="744"/>
      <c r="J47" s="744"/>
      <c r="K47" s="744"/>
      <c r="L47" s="744"/>
      <c r="M47" s="497"/>
      <c r="N47" s="729"/>
      <c r="O47" s="729"/>
      <c r="P47" s="729"/>
      <c r="Q47" s="728"/>
      <c r="R47" s="728"/>
      <c r="S47" s="728"/>
      <c r="T47" s="728"/>
      <c r="U47" s="728"/>
      <c r="V47" s="728"/>
      <c r="W47" s="728"/>
      <c r="X47" s="728"/>
      <c r="Y47" s="728"/>
      <c r="Z47" s="728"/>
      <c r="AA47" s="728"/>
      <c r="AB47" s="728"/>
      <c r="AC47" s="728"/>
      <c r="AD47" s="728"/>
      <c r="AE47" s="670"/>
      <c r="AF47" s="670"/>
      <c r="AG47" s="670"/>
      <c r="AH47" s="670"/>
    </row>
    <row r="48" spans="1:34" ht="17.149999999999999" customHeight="1" x14ac:dyDescent="0.25">
      <c r="A48" s="493" t="s">
        <v>457</v>
      </c>
      <c r="B48" s="647">
        <f t="shared" ref="B48:K48" si="28">ROUND(B44*0.525,0)</f>
        <v>0</v>
      </c>
      <c r="C48" s="647">
        <f t="shared" si="28"/>
        <v>0</v>
      </c>
      <c r="D48" s="647">
        <f t="shared" si="28"/>
        <v>0</v>
      </c>
      <c r="E48" s="647">
        <f t="shared" si="28"/>
        <v>0</v>
      </c>
      <c r="F48" s="647">
        <f t="shared" si="28"/>
        <v>0</v>
      </c>
      <c r="G48" s="647">
        <f t="shared" si="28"/>
        <v>0</v>
      </c>
      <c r="H48" s="647">
        <f t="shared" si="28"/>
        <v>0</v>
      </c>
      <c r="I48" s="647">
        <f t="shared" si="28"/>
        <v>0</v>
      </c>
      <c r="J48" s="647">
        <f t="shared" si="28"/>
        <v>0</v>
      </c>
      <c r="K48" s="647">
        <f t="shared" si="28"/>
        <v>0</v>
      </c>
      <c r="L48" s="644">
        <f t="shared" si="27"/>
        <v>0</v>
      </c>
      <c r="M48" s="495"/>
      <c r="N48" s="729"/>
      <c r="O48" s="729"/>
      <c r="P48" s="729"/>
      <c r="Q48" s="728"/>
      <c r="R48" s="728"/>
      <c r="S48" s="728"/>
      <c r="T48" s="728"/>
      <c r="U48" s="728"/>
      <c r="V48" s="728"/>
      <c r="W48" s="728"/>
      <c r="X48" s="728"/>
      <c r="Y48" s="728"/>
      <c r="Z48" s="728"/>
      <c r="AA48" s="728"/>
      <c r="AB48" s="728"/>
      <c r="AC48" s="728"/>
      <c r="AD48" s="728"/>
      <c r="AE48" s="670"/>
      <c r="AF48" s="670"/>
      <c r="AG48" s="670"/>
      <c r="AH48" s="670"/>
    </row>
    <row r="49" spans="1:34" ht="17.149999999999999" customHeight="1" x14ac:dyDescent="0.3">
      <c r="A49" s="494" t="s">
        <v>340</v>
      </c>
      <c r="B49" s="645">
        <f t="shared" ref="B49:K49" si="29">IF($M$49&gt;0, ROUND(B45*$M$49,SUM(B42+B44)),SUM(B47+B48))</f>
        <v>0</v>
      </c>
      <c r="C49" s="645">
        <f t="shared" si="29"/>
        <v>0</v>
      </c>
      <c r="D49" s="645">
        <f t="shared" si="29"/>
        <v>0</v>
      </c>
      <c r="E49" s="645">
        <f t="shared" si="29"/>
        <v>0</v>
      </c>
      <c r="F49" s="645">
        <f t="shared" si="29"/>
        <v>0</v>
      </c>
      <c r="G49" s="645">
        <f t="shared" si="29"/>
        <v>0</v>
      </c>
      <c r="H49" s="645">
        <f t="shared" si="29"/>
        <v>0</v>
      </c>
      <c r="I49" s="645">
        <f t="shared" si="29"/>
        <v>0</v>
      </c>
      <c r="J49" s="645">
        <f t="shared" si="29"/>
        <v>0</v>
      </c>
      <c r="K49" s="645">
        <f t="shared" si="29"/>
        <v>0</v>
      </c>
      <c r="L49" s="79">
        <f>SUM(B49:K49)</f>
        <v>0</v>
      </c>
      <c r="M49" s="745">
        <f>IF(('Salary Detail'!B15="X")*AND('Salary Detail'!B17="X")*AND('Salary Detail'!B20=0), 0.525,IF('Salary Detail'!C20&gt;0,'Salary Detail'!C20, 0))</f>
        <v>0</v>
      </c>
      <c r="N49" s="730"/>
      <c r="O49" s="731" t="s">
        <v>402</v>
      </c>
      <c r="P49" s="730"/>
      <c r="Q49" s="43"/>
      <c r="R49" s="43"/>
      <c r="S49" s="43"/>
      <c r="T49" s="43"/>
      <c r="U49" s="43"/>
      <c r="V49" s="43"/>
      <c r="W49" s="43"/>
      <c r="X49" s="43"/>
      <c r="Y49" s="732"/>
      <c r="Z49" s="728"/>
      <c r="AA49" s="728"/>
      <c r="AB49" s="728"/>
      <c r="AC49" s="728"/>
      <c r="AD49" s="728"/>
      <c r="AE49" s="670"/>
      <c r="AF49" s="670"/>
      <c r="AG49" s="670"/>
      <c r="AH49" s="670"/>
    </row>
    <row r="50" spans="1:34" ht="21" customHeight="1" thickBot="1" x14ac:dyDescent="0.35">
      <c r="A50" s="335" t="s">
        <v>222</v>
      </c>
      <c r="B50" s="500">
        <f t="shared" ref="B50:L50" si="30">B41+B49</f>
        <v>0</v>
      </c>
      <c r="C50" s="500">
        <f t="shared" si="30"/>
        <v>0</v>
      </c>
      <c r="D50" s="500">
        <f t="shared" si="30"/>
        <v>0</v>
      </c>
      <c r="E50" s="500">
        <f t="shared" si="30"/>
        <v>0</v>
      </c>
      <c r="F50" s="500">
        <f t="shared" si="30"/>
        <v>0</v>
      </c>
      <c r="G50" s="500">
        <f t="shared" si="30"/>
        <v>0</v>
      </c>
      <c r="H50" s="500">
        <f t="shared" si="30"/>
        <v>0</v>
      </c>
      <c r="I50" s="500">
        <f t="shared" si="30"/>
        <v>0</v>
      </c>
      <c r="J50" s="500">
        <f t="shared" si="30"/>
        <v>0</v>
      </c>
      <c r="K50" s="500">
        <f t="shared" si="30"/>
        <v>0</v>
      </c>
      <c r="L50" s="500">
        <f t="shared" si="30"/>
        <v>0</v>
      </c>
      <c r="M50" s="503" t="s">
        <v>347</v>
      </c>
      <c r="N50" s="730"/>
      <c r="O50" s="730"/>
      <c r="P50" s="43"/>
      <c r="Q50" s="43"/>
      <c r="R50" s="43"/>
      <c r="S50" s="43"/>
      <c r="T50" s="43"/>
      <c r="U50" s="43"/>
      <c r="V50" s="43"/>
      <c r="W50" s="43"/>
      <c r="X50" s="43"/>
      <c r="Y50" s="732"/>
      <c r="Z50" s="728"/>
      <c r="AA50" s="728"/>
      <c r="AB50" s="728"/>
      <c r="AC50" s="728"/>
      <c r="AD50" s="728"/>
      <c r="AE50" s="670"/>
      <c r="AF50" s="670"/>
      <c r="AG50" s="670"/>
      <c r="AH50" s="670"/>
    </row>
    <row r="51" spans="1:34" ht="10.5" customHeight="1" thickTop="1" x14ac:dyDescent="0.3">
      <c r="A51" s="661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160"/>
      <c r="N51" s="730"/>
      <c r="O51" s="733" t="s">
        <v>79</v>
      </c>
      <c r="P51" s="734" t="s">
        <v>43</v>
      </c>
      <c r="Q51" s="734" t="s">
        <v>44</v>
      </c>
      <c r="R51" s="734" t="s">
        <v>52</v>
      </c>
      <c r="S51" s="734" t="s">
        <v>53</v>
      </c>
      <c r="T51" s="734" t="s">
        <v>144</v>
      </c>
      <c r="U51" s="734" t="s">
        <v>145</v>
      </c>
      <c r="V51" s="734" t="s">
        <v>149</v>
      </c>
      <c r="W51" s="734" t="s">
        <v>150</v>
      </c>
      <c r="X51" s="734" t="s">
        <v>155</v>
      </c>
      <c r="Y51" s="732"/>
      <c r="Z51" s="728"/>
      <c r="AA51" s="728"/>
      <c r="AB51" s="728"/>
      <c r="AC51" s="728"/>
      <c r="AD51" s="728"/>
      <c r="AE51" s="670"/>
      <c r="AF51" s="670"/>
      <c r="AG51" s="670"/>
      <c r="AH51" s="670"/>
    </row>
    <row r="52" spans="1:34" ht="15" customHeight="1" x14ac:dyDescent="0.45">
      <c r="A52" s="706" t="s">
        <v>405</v>
      </c>
      <c r="B52" s="703"/>
      <c r="C52" s="703"/>
      <c r="D52" s="703"/>
      <c r="E52" s="703"/>
      <c r="F52" s="703"/>
      <c r="G52" s="707"/>
      <c r="H52" s="703"/>
      <c r="I52" s="693" t="s">
        <v>406</v>
      </c>
      <c r="N52" s="43"/>
      <c r="O52" s="734" t="s">
        <v>403</v>
      </c>
      <c r="P52" s="734" t="s">
        <v>403</v>
      </c>
      <c r="Q52" s="734" t="s">
        <v>403</v>
      </c>
      <c r="R52" s="734" t="s">
        <v>403</v>
      </c>
      <c r="S52" s="734" t="s">
        <v>403</v>
      </c>
      <c r="T52" s="734" t="s">
        <v>403</v>
      </c>
      <c r="U52" s="734" t="s">
        <v>403</v>
      </c>
      <c r="V52" s="734" t="s">
        <v>403</v>
      </c>
      <c r="W52" s="734" t="s">
        <v>403</v>
      </c>
      <c r="X52" s="734" t="s">
        <v>403</v>
      </c>
      <c r="Y52" s="732"/>
      <c r="Z52" s="728"/>
      <c r="AA52" s="728"/>
      <c r="AB52" s="728"/>
      <c r="AC52" s="728"/>
      <c r="AD52" s="728"/>
      <c r="AE52" s="670"/>
      <c r="AF52" s="670"/>
      <c r="AG52" s="670"/>
      <c r="AH52" s="670"/>
    </row>
    <row r="53" spans="1:34" ht="15.5" x14ac:dyDescent="0.35">
      <c r="A53" s="698" t="str">
        <f>IF($I$7&gt;0, "Modular Format"," ")</f>
        <v xml:space="preserve"> </v>
      </c>
      <c r="B53" s="699" t="s">
        <v>407</v>
      </c>
      <c r="C53" s="700" t="s">
        <v>408</v>
      </c>
      <c r="D53" s="701" t="s">
        <v>409</v>
      </c>
      <c r="E53" s="702" t="s">
        <v>410</v>
      </c>
      <c r="F53" s="702" t="s">
        <v>411</v>
      </c>
      <c r="G53" s="702" t="s">
        <v>412</v>
      </c>
      <c r="H53" s="703"/>
      <c r="I53" s="160"/>
      <c r="J53" s="160"/>
      <c r="K53" s="160"/>
      <c r="L53" s="160"/>
      <c r="M53" s="160"/>
      <c r="N53" s="735" t="s">
        <v>404</v>
      </c>
      <c r="O53" s="736">
        <v>0</v>
      </c>
      <c r="P53" s="736">
        <v>0</v>
      </c>
      <c r="Q53" s="736">
        <v>0</v>
      </c>
      <c r="R53" s="736">
        <v>0</v>
      </c>
      <c r="S53" s="736">
        <v>0</v>
      </c>
      <c r="T53" s="736">
        <v>0</v>
      </c>
      <c r="U53" s="736">
        <v>0</v>
      </c>
      <c r="V53" s="736">
        <v>0</v>
      </c>
      <c r="W53" s="736">
        <v>0</v>
      </c>
      <c r="X53" s="736">
        <v>0</v>
      </c>
      <c r="Y53" s="732"/>
      <c r="Z53" s="728"/>
      <c r="AA53" s="728"/>
      <c r="AB53" s="728"/>
      <c r="AC53" s="728"/>
      <c r="AD53" s="728"/>
      <c r="AE53" s="670"/>
      <c r="AF53" s="670"/>
      <c r="AG53" s="670"/>
      <c r="AH53" s="670"/>
    </row>
    <row r="54" spans="1:34" ht="13" x14ac:dyDescent="0.3">
      <c r="A54" s="708" t="s">
        <v>413</v>
      </c>
      <c r="B54" s="709">
        <f>IF($I$7="X",B76,B45)</f>
        <v>0</v>
      </c>
      <c r="C54" s="709">
        <f>IF($I$7="X",C76,C45)</f>
        <v>0</v>
      </c>
      <c r="D54" s="709">
        <f>IF($I$7="X",D76,D45)</f>
        <v>0</v>
      </c>
      <c r="E54" s="709">
        <f>IF($I$7="X",E76,E45)</f>
        <v>0</v>
      </c>
      <c r="F54" s="709">
        <f>IF($I$7="X",F76,F45)</f>
        <v>0</v>
      </c>
      <c r="G54" s="710">
        <f t="shared" ref="G54:G66" si="31">SUM(B54:F54)</f>
        <v>0</v>
      </c>
      <c r="H54" s="703"/>
      <c r="I54" s="704" t="s">
        <v>414</v>
      </c>
      <c r="J54" s="43" t="s">
        <v>415</v>
      </c>
      <c r="N54" s="732"/>
      <c r="O54" s="732"/>
      <c r="P54" s="732"/>
      <c r="Q54" s="732"/>
      <c r="R54" s="732"/>
      <c r="S54" s="732"/>
      <c r="T54" s="732"/>
      <c r="U54" s="732"/>
      <c r="V54" s="732"/>
      <c r="W54" s="732"/>
      <c r="X54" s="732"/>
      <c r="Y54" s="732"/>
      <c r="Z54" s="728"/>
      <c r="AA54" s="728"/>
      <c r="AB54" s="728"/>
      <c r="AC54" s="728"/>
      <c r="AD54" s="728"/>
      <c r="AE54" s="670"/>
      <c r="AF54" s="670"/>
      <c r="AG54" s="670"/>
      <c r="AH54" s="670"/>
    </row>
    <row r="55" spans="1:34" ht="13" x14ac:dyDescent="0.3">
      <c r="A55" s="708"/>
      <c r="B55" s="709"/>
      <c r="C55" s="709"/>
      <c r="D55" s="709"/>
      <c r="E55" s="709"/>
      <c r="F55" s="709"/>
      <c r="G55" s="710"/>
      <c r="H55" s="703"/>
      <c r="I55" s="43" t="s">
        <v>416</v>
      </c>
      <c r="J55" s="43"/>
      <c r="N55" s="737"/>
      <c r="O55" s="728"/>
      <c r="P55" s="728"/>
      <c r="Q55" s="728"/>
      <c r="R55" s="728"/>
      <c r="S55" s="728"/>
      <c r="T55" s="728"/>
      <c r="U55" s="728"/>
      <c r="V55" s="728"/>
      <c r="W55" s="728"/>
      <c r="X55" s="728"/>
      <c r="Y55" s="728"/>
      <c r="Z55" s="728"/>
      <c r="AA55" s="728"/>
      <c r="AB55" s="728"/>
      <c r="AC55" s="728"/>
      <c r="AD55" s="728"/>
      <c r="AE55" s="670"/>
      <c r="AF55" s="670"/>
      <c r="AG55" s="670"/>
      <c r="AH55" s="670"/>
    </row>
    <row r="56" spans="1:34" ht="13" x14ac:dyDescent="0.3">
      <c r="A56" s="708"/>
      <c r="B56" s="709"/>
      <c r="C56" s="709"/>
      <c r="D56" s="709"/>
      <c r="E56" s="709"/>
      <c r="F56" s="709"/>
      <c r="G56" s="710"/>
      <c r="H56" s="703"/>
      <c r="I56" s="43" t="s">
        <v>416</v>
      </c>
      <c r="J56" s="43"/>
      <c r="N56" s="737"/>
      <c r="O56" s="728"/>
      <c r="P56" s="728"/>
      <c r="Q56" s="728"/>
      <c r="R56" s="728"/>
      <c r="S56" s="728"/>
      <c r="T56" s="728"/>
      <c r="U56" s="728"/>
      <c r="V56" s="728"/>
      <c r="W56" s="728"/>
      <c r="X56" s="728"/>
      <c r="Y56" s="728"/>
      <c r="Z56" s="728"/>
      <c r="AA56" s="728"/>
      <c r="AB56" s="728"/>
      <c r="AC56" s="728"/>
      <c r="AD56" s="728"/>
      <c r="AE56" s="670"/>
      <c r="AF56" s="670"/>
      <c r="AG56" s="670"/>
      <c r="AH56" s="670"/>
    </row>
    <row r="57" spans="1:34" ht="13" x14ac:dyDescent="0.3">
      <c r="A57" s="711" t="s">
        <v>417</v>
      </c>
      <c r="B57" s="712">
        <f>IF($I$7="X",B77,IF(B41&gt;0,(B42),0))</f>
        <v>0</v>
      </c>
      <c r="C57" s="712">
        <f>IF($I$7="X",C77,IF(C41&gt;0,(C42),0))</f>
        <v>0</v>
      </c>
      <c r="D57" s="712">
        <f>IF($I$7="X",D77,IF(D41&gt;0,(D42),0))</f>
        <v>0</v>
      </c>
      <c r="E57" s="712">
        <f>IF($I$7="X",E77,IF(E41&gt;0,(E42),0))</f>
        <v>0</v>
      </c>
      <c r="F57" s="712">
        <f>IF($I$7="X",F77,IF(F41&gt;0,(F42),0))</f>
        <v>0</v>
      </c>
      <c r="G57" s="713">
        <f t="shared" si="31"/>
        <v>0</v>
      </c>
      <c r="H57" s="703"/>
      <c r="I57" s="43" t="s">
        <v>416</v>
      </c>
      <c r="J57" s="43"/>
      <c r="N57" s="737"/>
      <c r="O57" s="728"/>
      <c r="P57" s="728"/>
      <c r="Q57" s="728"/>
      <c r="R57" s="728"/>
      <c r="S57" s="728"/>
      <c r="T57" s="728"/>
      <c r="U57" s="728"/>
      <c r="V57" s="728"/>
      <c r="W57" s="728"/>
      <c r="X57" s="728"/>
      <c r="Y57" s="728"/>
      <c r="Z57" s="728"/>
      <c r="AA57" s="728"/>
      <c r="AB57" s="728"/>
      <c r="AC57" s="728"/>
      <c r="AD57" s="728"/>
      <c r="AE57" s="670"/>
      <c r="AF57" s="670"/>
      <c r="AG57" s="670"/>
      <c r="AH57" s="670"/>
    </row>
    <row r="58" spans="1:34" ht="13" x14ac:dyDescent="0.3">
      <c r="A58" s="711" t="s">
        <v>418</v>
      </c>
      <c r="B58" s="712">
        <f>IF($I$7="X",B78,IF(B41&gt;0,(B44),0))</f>
        <v>0</v>
      </c>
      <c r="C58" s="712">
        <f>IF($I$7="X",C78,IF(C41&gt;0,(C44),0))</f>
        <v>0</v>
      </c>
      <c r="D58" s="712">
        <f>IF($I$7="X",D78,IF(D41&gt;0,(D44),0))</f>
        <v>0</v>
      </c>
      <c r="E58" s="712">
        <f>IF($I$7="X",E78,IF(E41&gt;0,(E44),0))</f>
        <v>0</v>
      </c>
      <c r="F58" s="712">
        <f>IF($I$7="X",F78,IF(F41&gt;0,(F44),0))</f>
        <v>0</v>
      </c>
      <c r="G58" s="713">
        <f t="shared" si="31"/>
        <v>0</v>
      </c>
      <c r="H58" s="703"/>
      <c r="I58" s="694"/>
      <c r="J58" s="43"/>
      <c r="N58" s="737"/>
      <c r="O58" s="728"/>
      <c r="P58" s="728"/>
      <c r="Q58" s="728"/>
      <c r="R58" s="728"/>
      <c r="S58" s="728"/>
      <c r="T58" s="728"/>
      <c r="U58" s="728"/>
      <c r="V58" s="728"/>
      <c r="W58" s="728"/>
      <c r="X58" s="728"/>
      <c r="Y58" s="728"/>
      <c r="Z58" s="728"/>
      <c r="AA58" s="728"/>
      <c r="AB58" s="728"/>
      <c r="AC58" s="728"/>
      <c r="AD58" s="728"/>
      <c r="AE58" s="670"/>
      <c r="AF58" s="670"/>
      <c r="AG58" s="670"/>
      <c r="AH58" s="670"/>
    </row>
    <row r="59" spans="1:34" x14ac:dyDescent="0.25">
      <c r="A59" s="714" t="s">
        <v>419</v>
      </c>
      <c r="B59" s="709">
        <f>IF($I$7="X",B75,(((SUM(B17:B24))+SUM(B36+B38))))</f>
        <v>0</v>
      </c>
      <c r="C59" s="709">
        <f>IF($I$7="X",C75,(((SUM(C17:C24))+SUM(C36+C38))))</f>
        <v>0</v>
      </c>
      <c r="D59" s="709">
        <f>IF($I$7="X",D75,(((SUM(D17:D24))+SUM(D36+D38))))</f>
        <v>0</v>
      </c>
      <c r="E59" s="709">
        <f>IF($I$7="X",E75,(((SUM(E17:E24))+SUM(E36+E38))))</f>
        <v>0</v>
      </c>
      <c r="F59" s="709">
        <f>IF($I$7="X",F75,(((SUM(F17:F24))+SUM(F36+F38))))</f>
        <v>0</v>
      </c>
      <c r="G59" s="710">
        <f t="shared" si="31"/>
        <v>0</v>
      </c>
      <c r="H59" s="703"/>
      <c r="I59" s="705" t="s">
        <v>420</v>
      </c>
      <c r="J59" s="43" t="s">
        <v>421</v>
      </c>
      <c r="N59" s="728"/>
      <c r="O59" s="728"/>
      <c r="P59" s="728"/>
      <c r="Q59" s="728"/>
      <c r="R59" s="728"/>
      <c r="S59" s="728"/>
      <c r="T59" s="728"/>
      <c r="U59" s="728"/>
      <c r="V59" s="728"/>
      <c r="W59" s="728"/>
      <c r="X59" s="728"/>
      <c r="Y59" s="728"/>
      <c r="Z59" s="728"/>
      <c r="AA59" s="728"/>
      <c r="AB59" s="728"/>
      <c r="AC59" s="728"/>
      <c r="AD59" s="728"/>
      <c r="AE59" s="670"/>
      <c r="AF59" s="670"/>
      <c r="AG59" s="670"/>
      <c r="AH59" s="670"/>
    </row>
    <row r="60" spans="1:34" x14ac:dyDescent="0.25">
      <c r="A60" s="714" t="s">
        <v>217</v>
      </c>
      <c r="B60" s="709">
        <f>B40</f>
        <v>0</v>
      </c>
      <c r="C60" s="709">
        <f>C40</f>
        <v>0</v>
      </c>
      <c r="D60" s="709">
        <f>D40</f>
        <v>0</v>
      </c>
      <c r="E60" s="709">
        <f>E40</f>
        <v>0</v>
      </c>
      <c r="F60" s="709">
        <f>F40</f>
        <v>0</v>
      </c>
      <c r="G60" s="710">
        <f t="shared" si="31"/>
        <v>0</v>
      </c>
      <c r="H60" s="703"/>
      <c r="I60" s="43" t="s">
        <v>422</v>
      </c>
      <c r="N60" s="728"/>
      <c r="O60" s="728"/>
      <c r="P60" s="728"/>
      <c r="Q60" s="728"/>
      <c r="R60" s="728"/>
      <c r="S60" s="728"/>
      <c r="T60" s="728"/>
      <c r="U60" s="728"/>
      <c r="V60" s="728"/>
      <c r="W60" s="728"/>
      <c r="X60" s="728"/>
      <c r="Y60" s="728"/>
      <c r="Z60" s="728"/>
      <c r="AA60" s="728"/>
      <c r="AB60" s="728"/>
      <c r="AC60" s="728"/>
      <c r="AD60" s="728"/>
      <c r="AE60" s="670"/>
      <c r="AF60" s="670"/>
      <c r="AG60" s="670"/>
      <c r="AH60" s="670"/>
    </row>
    <row r="61" spans="1:34" ht="13" x14ac:dyDescent="0.3">
      <c r="A61" s="715" t="s">
        <v>423</v>
      </c>
      <c r="B61" s="709">
        <f>B59+B60</f>
        <v>0</v>
      </c>
      <c r="C61" s="709">
        <f>C59+C60</f>
        <v>0</v>
      </c>
      <c r="D61" s="709">
        <f>D59+D60</f>
        <v>0</v>
      </c>
      <c r="E61" s="709">
        <f>E59+E60</f>
        <v>0</v>
      </c>
      <c r="F61" s="709">
        <f>F59+F60</f>
        <v>0</v>
      </c>
      <c r="G61" s="710">
        <f t="shared" si="31"/>
        <v>0</v>
      </c>
      <c r="H61" s="703"/>
      <c r="I61" s="43" t="s">
        <v>424</v>
      </c>
      <c r="N61" s="729"/>
      <c r="O61" s="738"/>
      <c r="P61" s="727"/>
      <c r="Q61" s="727"/>
      <c r="R61" s="727"/>
      <c r="S61" s="727"/>
      <c r="T61" s="727"/>
      <c r="U61" s="727"/>
      <c r="V61" s="727"/>
      <c r="W61" s="727"/>
      <c r="X61" s="727"/>
      <c r="Y61" s="728"/>
      <c r="Z61" s="728"/>
      <c r="AA61" s="728"/>
      <c r="AB61" s="728"/>
      <c r="AC61" s="728"/>
      <c r="AD61" s="728"/>
      <c r="AE61" s="670"/>
      <c r="AF61" s="670"/>
      <c r="AG61" s="670"/>
      <c r="AH61" s="670"/>
    </row>
    <row r="62" spans="1:34" ht="13" x14ac:dyDescent="0.3">
      <c r="A62" s="715"/>
      <c r="B62" s="709"/>
      <c r="C62" s="709"/>
      <c r="D62" s="709"/>
      <c r="E62" s="709"/>
      <c r="F62" s="709"/>
      <c r="G62" s="710"/>
      <c r="H62" s="703"/>
      <c r="I62" s="43" t="s">
        <v>425</v>
      </c>
      <c r="N62" s="729"/>
      <c r="O62" s="738"/>
      <c r="P62" s="727"/>
      <c r="Q62" s="727"/>
      <c r="R62" s="727"/>
      <c r="S62" s="727"/>
      <c r="T62" s="727"/>
      <c r="U62" s="727"/>
      <c r="V62" s="727"/>
      <c r="W62" s="727"/>
      <c r="X62" s="727"/>
      <c r="Y62" s="728"/>
      <c r="Z62" s="728"/>
      <c r="AA62" s="728"/>
      <c r="AB62" s="728"/>
      <c r="AC62" s="728"/>
      <c r="AD62" s="728"/>
      <c r="AE62" s="670"/>
      <c r="AF62" s="670"/>
      <c r="AG62" s="670"/>
      <c r="AH62" s="670"/>
    </row>
    <row r="63" spans="1:34" ht="13" x14ac:dyDescent="0.3">
      <c r="A63" s="716" t="s">
        <v>426</v>
      </c>
      <c r="B63" s="712">
        <f>IF($I$7="X",B80,(IF(B41&gt;0,B47,0)))</f>
        <v>0</v>
      </c>
      <c r="C63" s="712">
        <f>IF($I$7="X",C80,(IF(C41&gt;0,C47,0)))</f>
        <v>0</v>
      </c>
      <c r="D63" s="712">
        <f>IF($I$7="X",D80,(IF(D41&gt;0,D47,0)))</f>
        <v>0</v>
      </c>
      <c r="E63" s="712">
        <f>IF($I$7="X",E80,(IF(E41&gt;0,E47,0)))</f>
        <v>0</v>
      </c>
      <c r="F63" s="712">
        <f>IF($I$7="X",F80,(IF(F41&gt;0,F47,0)))</f>
        <v>0</v>
      </c>
      <c r="G63" s="713">
        <f t="shared" si="31"/>
        <v>0</v>
      </c>
      <c r="H63" s="703"/>
      <c r="N63" s="729"/>
      <c r="O63" s="738"/>
      <c r="P63" s="727"/>
      <c r="Q63" s="727"/>
      <c r="R63" s="727"/>
      <c r="S63" s="727"/>
      <c r="T63" s="727"/>
      <c r="U63" s="727"/>
      <c r="V63" s="727"/>
      <c r="W63" s="727"/>
      <c r="X63" s="727"/>
      <c r="Y63" s="728"/>
      <c r="Z63" s="728"/>
      <c r="AA63" s="728"/>
      <c r="AB63" s="728"/>
      <c r="AC63" s="728"/>
      <c r="AD63" s="728"/>
      <c r="AE63" s="670"/>
      <c r="AF63" s="670"/>
      <c r="AG63" s="670"/>
      <c r="AH63" s="670"/>
    </row>
    <row r="64" spans="1:34" ht="13" x14ac:dyDescent="0.3">
      <c r="A64" s="716" t="s">
        <v>427</v>
      </c>
      <c r="B64" s="712">
        <f>IF($I$7="X",B81,(IF(B41&gt;0,B48,0)))</f>
        <v>0</v>
      </c>
      <c r="C64" s="712">
        <f>IF($I$7="X",C81,(IF(C41&gt;0,C48,0)))</f>
        <v>0</v>
      </c>
      <c r="D64" s="712">
        <f>IF($I$7="X",D81,(IF(D41&gt;0,D48,0)))</f>
        <v>0</v>
      </c>
      <c r="E64" s="712">
        <f>IF($I$7="X",E81,(IF(E41&gt;0,E48,0)))</f>
        <v>0</v>
      </c>
      <c r="F64" s="712">
        <f>IF($I$7="X",F81,(IF(F41&gt;0,F48,0)))</f>
        <v>0</v>
      </c>
      <c r="G64" s="713">
        <f t="shared" si="31"/>
        <v>0</v>
      </c>
      <c r="H64" s="703"/>
      <c r="I64" s="43"/>
      <c r="N64" s="729"/>
      <c r="O64" s="738"/>
      <c r="P64" s="727"/>
      <c r="Q64" s="727"/>
      <c r="R64" s="727"/>
      <c r="S64" s="727"/>
      <c r="T64" s="727"/>
      <c r="U64" s="727"/>
      <c r="V64" s="727"/>
      <c r="W64" s="727"/>
      <c r="X64" s="727"/>
      <c r="Y64" s="728"/>
      <c r="Z64" s="728"/>
      <c r="AA64" s="728"/>
      <c r="AB64" s="728"/>
      <c r="AC64" s="728"/>
      <c r="AD64" s="728"/>
      <c r="AE64" s="670"/>
      <c r="AF64" s="670"/>
      <c r="AG64" s="670"/>
      <c r="AH64" s="670"/>
    </row>
    <row r="65" spans="1:34" ht="13" x14ac:dyDescent="0.3">
      <c r="A65" s="715" t="s">
        <v>340</v>
      </c>
      <c r="B65" s="709">
        <f>IF($I$7="X",B82,B49)</f>
        <v>0</v>
      </c>
      <c r="C65" s="709">
        <f>IF($I$7="X",C82,C49)</f>
        <v>0</v>
      </c>
      <c r="D65" s="709">
        <f>IF($I$7="X",D82,D49)</f>
        <v>0</v>
      </c>
      <c r="E65" s="709">
        <f>IF($I$7="X",E82,E49)</f>
        <v>0</v>
      </c>
      <c r="F65" s="709">
        <f>IF($I$7="X",F82,F49)</f>
        <v>0</v>
      </c>
      <c r="G65" s="717">
        <f t="shared" si="31"/>
        <v>0</v>
      </c>
      <c r="H65" s="703"/>
      <c r="N65" s="728"/>
      <c r="O65" s="727"/>
      <c r="P65" s="727"/>
      <c r="Q65" s="727"/>
      <c r="R65" s="727"/>
      <c r="S65" s="727"/>
      <c r="T65" s="727"/>
      <c r="U65" s="727"/>
      <c r="V65" s="727"/>
      <c r="W65" s="727"/>
      <c r="X65" s="727"/>
      <c r="Y65" s="728"/>
      <c r="Z65" s="728"/>
      <c r="AA65" s="728"/>
      <c r="AB65" s="728"/>
      <c r="AC65" s="728"/>
      <c r="AD65" s="728"/>
      <c r="AE65" s="670"/>
      <c r="AF65" s="670"/>
      <c r="AG65" s="670"/>
      <c r="AH65" s="670"/>
    </row>
    <row r="66" spans="1:34" ht="18.75" customHeight="1" x14ac:dyDescent="0.3">
      <c r="A66" s="715" t="s">
        <v>428</v>
      </c>
      <c r="B66" s="718">
        <f>SUM(B61+B65)</f>
        <v>0</v>
      </c>
      <c r="C66" s="718">
        <f>SUM(C61+C65)</f>
        <v>0</v>
      </c>
      <c r="D66" s="718">
        <f>SUM(D61+D65)</f>
        <v>0</v>
      </c>
      <c r="E66" s="718">
        <f>SUM(E61+E65)</f>
        <v>0</v>
      </c>
      <c r="F66" s="718">
        <f>SUM(F61+F65)</f>
        <v>0</v>
      </c>
      <c r="G66" s="719">
        <f t="shared" si="31"/>
        <v>0</v>
      </c>
      <c r="H66" s="703"/>
      <c r="N66" s="737"/>
      <c r="O66" s="728"/>
      <c r="P66" s="728"/>
      <c r="Q66" s="728"/>
      <c r="R66" s="728"/>
      <c r="S66" s="728"/>
      <c r="T66" s="728"/>
      <c r="U66" s="728"/>
      <c r="V66" s="728"/>
      <c r="W66" s="728"/>
      <c r="X66" s="728"/>
      <c r="Y66" s="728"/>
      <c r="Z66" s="728"/>
      <c r="AA66" s="728"/>
      <c r="AB66" s="728"/>
      <c r="AC66" s="728"/>
      <c r="AD66" s="728"/>
      <c r="AE66" s="670"/>
      <c r="AF66" s="670"/>
      <c r="AG66" s="670"/>
      <c r="AH66" s="670"/>
    </row>
    <row r="67" spans="1:34" x14ac:dyDescent="0.25">
      <c r="A67" s="703"/>
      <c r="B67" s="703"/>
      <c r="C67" s="703"/>
      <c r="D67" s="703"/>
      <c r="E67" s="703"/>
      <c r="F67" s="703"/>
      <c r="G67" s="703"/>
      <c r="H67" s="703"/>
      <c r="N67" s="737"/>
      <c r="O67" s="728"/>
      <c r="P67" s="728"/>
      <c r="Q67" s="728"/>
      <c r="R67" s="728"/>
      <c r="S67" s="728"/>
      <c r="T67" s="728"/>
      <c r="U67" s="728"/>
      <c r="V67" s="728"/>
      <c r="W67" s="728"/>
      <c r="X67" s="728"/>
      <c r="Y67" s="728"/>
      <c r="Z67" s="728"/>
      <c r="AA67" s="728"/>
      <c r="AB67" s="728"/>
      <c r="AC67" s="728"/>
      <c r="AD67" s="728"/>
      <c r="AE67" s="670"/>
      <c r="AF67" s="670"/>
      <c r="AG67" s="670"/>
      <c r="AH67" s="670"/>
    </row>
    <row r="68" spans="1:34" x14ac:dyDescent="0.25">
      <c r="A68" s="703"/>
      <c r="B68" s="703"/>
      <c r="C68" s="703"/>
      <c r="D68" s="703"/>
      <c r="E68" s="703"/>
      <c r="F68" s="703"/>
      <c r="G68" s="703"/>
      <c r="H68" s="703"/>
      <c r="N68" s="728"/>
      <c r="O68" s="728"/>
      <c r="P68" s="728"/>
      <c r="Q68" s="728"/>
      <c r="R68" s="728"/>
      <c r="S68" s="728"/>
      <c r="T68" s="728"/>
      <c r="U68" s="728"/>
      <c r="V68" s="728"/>
      <c r="W68" s="728"/>
      <c r="X68" s="728"/>
      <c r="Y68" s="728"/>
      <c r="Z68" s="728"/>
      <c r="AA68" s="728"/>
      <c r="AB68" s="728"/>
      <c r="AC68" s="728"/>
      <c r="AD68" s="728"/>
      <c r="AE68" s="670"/>
      <c r="AF68" s="670"/>
      <c r="AG68" s="670"/>
      <c r="AH68" s="670"/>
    </row>
    <row r="69" spans="1:34" x14ac:dyDescent="0.25">
      <c r="A69" s="720"/>
      <c r="B69" s="703"/>
      <c r="C69" s="703"/>
      <c r="D69" s="703"/>
      <c r="E69" s="703"/>
      <c r="F69" s="703"/>
      <c r="G69" s="703"/>
      <c r="H69" s="721"/>
      <c r="I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</row>
    <row r="70" spans="1:34" x14ac:dyDescent="0.25">
      <c r="A70" s="722"/>
      <c r="B70" s="948"/>
      <c r="C70" s="948"/>
      <c r="D70" s="948"/>
      <c r="E70" s="948"/>
      <c r="F70" s="948"/>
      <c r="G70" s="948"/>
      <c r="H70" s="948"/>
      <c r="N70" s="454"/>
      <c r="O70" s="454"/>
      <c r="P70" s="454"/>
      <c r="Q70" s="454"/>
      <c r="R70" s="454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</row>
    <row r="71" spans="1:34" x14ac:dyDescent="0.25">
      <c r="A71" s="723"/>
      <c r="B71" s="948"/>
      <c r="C71" s="948"/>
      <c r="D71" s="948"/>
      <c r="E71" s="948"/>
      <c r="F71" s="948"/>
      <c r="G71" s="948"/>
      <c r="H71" s="948"/>
      <c r="N71" s="454"/>
      <c r="O71" s="454"/>
      <c r="P71" s="454"/>
      <c r="Q71" s="454"/>
      <c r="R71" s="454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</row>
    <row r="72" spans="1:34" x14ac:dyDescent="0.25">
      <c r="A72" s="703"/>
      <c r="B72" s="703"/>
      <c r="C72" s="703"/>
      <c r="D72" s="703"/>
      <c r="E72" s="703"/>
      <c r="F72" s="703"/>
      <c r="G72" s="703"/>
      <c r="H72" s="703"/>
      <c r="N72" s="454"/>
      <c r="O72" s="730" t="s">
        <v>434</v>
      </c>
      <c r="P72" s="43"/>
      <c r="Q72" s="43"/>
      <c r="R72" s="454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</row>
    <row r="73" spans="1:34" ht="13" x14ac:dyDescent="0.3">
      <c r="A73" s="724" t="s">
        <v>429</v>
      </c>
      <c r="B73" s="710"/>
      <c r="C73" s="710"/>
      <c r="D73" s="710"/>
      <c r="E73" s="710"/>
      <c r="F73" s="710"/>
      <c r="G73" s="710"/>
      <c r="H73" s="710"/>
      <c r="I73" s="696"/>
      <c r="J73" s="696"/>
      <c r="K73" s="696"/>
      <c r="L73" s="696"/>
      <c r="M73" s="160"/>
      <c r="N73" s="454"/>
      <c r="O73" s="739">
        <f>IF(O74&lt;150,(ROUND((L38/D8)/25000,0)),(ROUND(((L38/D8)/25000)+1,0)))</f>
        <v>0</v>
      </c>
      <c r="P73" s="740">
        <f>IF($I$7&gt;0,(O73*25000),0)</f>
        <v>0</v>
      </c>
      <c r="Q73" s="43" t="s">
        <v>435</v>
      </c>
      <c r="R73" s="454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</row>
    <row r="74" spans="1:34" x14ac:dyDescent="0.25">
      <c r="A74" s="703" t="s">
        <v>430</v>
      </c>
      <c r="B74" s="710">
        <f>IF($I$7="X",B39-B75,0)</f>
        <v>0</v>
      </c>
      <c r="C74" s="710">
        <f>IF($I$7="X",C39-C75,0)</f>
        <v>0</v>
      </c>
      <c r="D74" s="710">
        <f>IF($I$7&gt;0,D39-D75,0)</f>
        <v>0</v>
      </c>
      <c r="E74" s="710">
        <f>IF($I$7&gt;0,E39-E75,0)</f>
        <v>0</v>
      </c>
      <c r="F74" s="710">
        <f>IF($I$7&gt;0,F39-F75,0)</f>
        <v>0</v>
      </c>
      <c r="G74" s="710"/>
      <c r="H74" s="710">
        <f t="shared" ref="H74:H83" si="32">SUM(B74:F74)</f>
        <v>0</v>
      </c>
      <c r="I74" s="695"/>
      <c r="J74" s="695"/>
      <c r="K74" s="695"/>
      <c r="L74" s="695"/>
      <c r="N74" s="454"/>
      <c r="O74" s="730">
        <f>(L38)-((ROUND((L38/D8)/25000,0))*25000)*D8</f>
        <v>0</v>
      </c>
      <c r="P74" s="735" t="s">
        <v>436</v>
      </c>
      <c r="Q74" s="71" t="s">
        <v>437</v>
      </c>
      <c r="R74" s="454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</row>
    <row r="75" spans="1:34" x14ac:dyDescent="0.25">
      <c r="A75" s="703" t="s">
        <v>419</v>
      </c>
      <c r="B75" s="710">
        <f>IF($I$7="X",IF(B91&gt;0,B91,(IF($I$7&gt;0,IF(B41=0,0,($P$73))))),0)</f>
        <v>0</v>
      </c>
      <c r="C75" s="710">
        <f>IF($I$7="X",IF(C91&gt;0,C91,(IF($I$7&gt;0,IF(C41=0,0,($P$73))))),0)</f>
        <v>0</v>
      </c>
      <c r="D75" s="710">
        <f>IF($I$7="X",IF(D91&gt;0,D91,(IF($I$7&gt;0,IF(D41=0,0,($P$73))))),0)</f>
        <v>0</v>
      </c>
      <c r="E75" s="710">
        <f>IF($I$7="X",IF(E91&gt;0,E91,(IF($I$7&gt;0,IF(E41=0,0,($P$73))))),0)</f>
        <v>0</v>
      </c>
      <c r="F75" s="710">
        <f>IF($I$7="X",IF(F91&gt;0,F91,(IF($I$7&gt;0,IF(F41=0,0,($P$73))))),0)</f>
        <v>0</v>
      </c>
      <c r="G75" s="710"/>
      <c r="H75" s="710">
        <f t="shared" si="32"/>
        <v>0</v>
      </c>
      <c r="I75" s="696"/>
      <c r="J75" s="696"/>
      <c r="K75" s="696"/>
      <c r="L75" s="696"/>
      <c r="N75" s="454"/>
      <c r="O75" s="454"/>
      <c r="P75" s="454"/>
      <c r="Q75" s="454"/>
      <c r="R75" s="454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</row>
    <row r="76" spans="1:34" x14ac:dyDescent="0.25">
      <c r="A76" s="703" t="s">
        <v>413</v>
      </c>
      <c r="B76" s="725">
        <f>IF(($I$7="X")*AND(B75+B40+N39&gt;0),(B75+B40+N39),0)</f>
        <v>0</v>
      </c>
      <c r="C76" s="725">
        <f>IF(($I$7="X")*AND(C75+C40+O39&gt;0),(C75+C40+O39),0)</f>
        <v>0</v>
      </c>
      <c r="D76" s="725">
        <f>IF(($I$7="X")*AND(D75+D40+P39&gt;0),(D75+D40+P39),0)</f>
        <v>0</v>
      </c>
      <c r="E76" s="725">
        <f>IF(($I$7="X")*AND(E75+E40+Q39)&gt;0,(E75+E40+Q39),0)</f>
        <v>0</v>
      </c>
      <c r="F76" s="725">
        <f>IF(($I$7="X")*AND(F75+F40+R39&gt;0),(F75+F40+R39),0)</f>
        <v>0</v>
      </c>
      <c r="G76" s="710"/>
      <c r="H76" s="710">
        <f t="shared" si="32"/>
        <v>0</v>
      </c>
      <c r="I76" s="697"/>
      <c r="J76" s="697"/>
      <c r="K76" s="697"/>
      <c r="L76" s="697"/>
      <c r="N76" s="454"/>
      <c r="O76" s="454"/>
      <c r="P76" s="454"/>
      <c r="Q76" s="454"/>
      <c r="R76" s="454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</row>
    <row r="77" spans="1:34" x14ac:dyDescent="0.25">
      <c r="A77" s="726" t="s">
        <v>431</v>
      </c>
      <c r="B77" s="725">
        <f>IF($I$7="X",IF('Salary Detail'!$B$20=0,(IF(('Salary Detail'!$B$15="X")*AND('Salary Detail'!$B$17="X"),IF(O53*B76&gt;0,O53*B76,0))),0),0)</f>
        <v>0</v>
      </c>
      <c r="C77" s="725" t="b">
        <f>IF('Salary Detail'!$B$20=0,(IF(('Salary Detail'!$B$15="X")*AND('Salary Detail'!$B$17="X"),IF(P53*C76&gt;0,P53*C76,0))),0)</f>
        <v>0</v>
      </c>
      <c r="D77" s="725" t="b">
        <f>IF('Salary Detail'!$B$20=0,(IF(('Salary Detail'!$B$15="X")*AND('Salary Detail'!$B$17="X"),IF(Q53*D76&gt;0,Q53*D76,0))),0)</f>
        <v>0</v>
      </c>
      <c r="E77" s="725" t="b">
        <f>IF('Salary Detail'!$B$20=0,(IF(('Salary Detail'!$B$15="X")*AND('Salary Detail'!$B$17="X"),IF(R53*E76&gt;0,R53*E76,0))),0)</f>
        <v>0</v>
      </c>
      <c r="F77" s="725" t="b">
        <f>IF('Salary Detail'!$B$20=0,(IF(('Salary Detail'!$B$15="X")*AND('Salary Detail'!$B$17="X"),IF(S53*F76&gt;0,S53*F76,0))),0)</f>
        <v>0</v>
      </c>
      <c r="G77" s="710"/>
      <c r="H77" s="710">
        <f t="shared" si="32"/>
        <v>0</v>
      </c>
      <c r="I77" s="697"/>
      <c r="J77" s="697"/>
      <c r="K77" s="697"/>
      <c r="L77" s="697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</row>
    <row r="78" spans="1:34" x14ac:dyDescent="0.25">
      <c r="A78" s="726" t="s">
        <v>341</v>
      </c>
      <c r="B78" s="725">
        <f>IF('Salary Detail'!$B$20=0,(IF('Salary Detail'!$B$20=0,(IF(('Salary Detail'!$B$15="X")*AND('Salary Detail'!$B$17="X"),SUM(B76-B77),0)),0)),0)</f>
        <v>0</v>
      </c>
      <c r="C78" s="725">
        <f>IF('Salary Detail'!$B$20=0,(IF('Salary Detail'!$B$20=0,(IF(('Salary Detail'!$B$15="X")*AND('Salary Detail'!$B$17="X"),SUM(C76-C77),0)),0)),0)</f>
        <v>0</v>
      </c>
      <c r="D78" s="725">
        <f>IF('Salary Detail'!$B$20=0,(IF('Salary Detail'!$B$20=0,(IF(('Salary Detail'!$B$15="X")*AND('Salary Detail'!$B$17="X"),SUM(D76-D77),0)),0)),0)</f>
        <v>0</v>
      </c>
      <c r="E78" s="725">
        <f>IF('Salary Detail'!$B$20=0,(IF('Salary Detail'!$B$20=0,(IF(('Salary Detail'!$B$15="X")*AND('Salary Detail'!$B$17="X"),SUM(E76-E77),0)),0)),0)</f>
        <v>0</v>
      </c>
      <c r="F78" s="725">
        <f>IF('Salary Detail'!$B$20=0,(IF('Salary Detail'!$B$20=0,(IF(('Salary Detail'!$B$15="X")*AND('Salary Detail'!$B$17="X"),SUM(F76-F77),0)),0)),0)</f>
        <v>0</v>
      </c>
      <c r="G78" s="710"/>
      <c r="H78" s="710">
        <f t="shared" si="32"/>
        <v>0</v>
      </c>
      <c r="I78" s="697"/>
      <c r="J78" s="697"/>
      <c r="K78" s="697"/>
      <c r="L78" s="697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</row>
    <row r="79" spans="1:34" x14ac:dyDescent="0.25">
      <c r="A79" s="703" t="s">
        <v>217</v>
      </c>
      <c r="B79" s="725">
        <f>IF($I$7="X",B40,0)</f>
        <v>0</v>
      </c>
      <c r="C79" s="725">
        <f>IF($I$7="X",C40,0)</f>
        <v>0</v>
      </c>
      <c r="D79" s="725">
        <f>IF($I$7="X",D40,0)</f>
        <v>0</v>
      </c>
      <c r="E79" s="725">
        <f>IF($I$7="X",E40,0)</f>
        <v>0</v>
      </c>
      <c r="F79" s="725">
        <f>IF($I$7="X",F40,0)</f>
        <v>0</v>
      </c>
      <c r="G79" s="710"/>
      <c r="H79" s="710">
        <f t="shared" si="32"/>
        <v>0</v>
      </c>
      <c r="I79" s="697"/>
      <c r="J79" s="697"/>
      <c r="K79" s="697"/>
      <c r="L79" s="697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</row>
    <row r="80" spans="1:34" x14ac:dyDescent="0.25">
      <c r="A80" s="726" t="s">
        <v>342</v>
      </c>
      <c r="B80" s="725">
        <f>IF($I$7="X",ROUND(B77*0.51,0),0)</f>
        <v>0</v>
      </c>
      <c r="C80" s="725">
        <f>IF($I$7="X",ROUND(C77*0.51,0),0)</f>
        <v>0</v>
      </c>
      <c r="D80" s="725">
        <f>IF($I$7="X",ROUND(D77*0.51,0),0)</f>
        <v>0</v>
      </c>
      <c r="E80" s="725">
        <f>IF($I$7="X",ROUND(E77*0.51,0),0)</f>
        <v>0</v>
      </c>
      <c r="F80" s="725">
        <f>IF($I$7="X",ROUND(F77*0.51,0),0)</f>
        <v>0</v>
      </c>
      <c r="G80" s="710"/>
      <c r="H80" s="710">
        <f t="shared" si="32"/>
        <v>0</v>
      </c>
      <c r="I80" s="697"/>
      <c r="J80" s="697"/>
      <c r="K80" s="697"/>
      <c r="L80" s="697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</row>
    <row r="81" spans="1:30" x14ac:dyDescent="0.25">
      <c r="A81" s="726" t="s">
        <v>378</v>
      </c>
      <c r="B81" s="725">
        <f>IF(($I$7="X")*AND($M$48=0),B82-B80,0)</f>
        <v>0</v>
      </c>
      <c r="C81" s="725">
        <f>IF(($I$7="X")*AND($M$48=0),C82-C80,0)</f>
        <v>0</v>
      </c>
      <c r="D81" s="725">
        <f>IF(($I$7="X")*AND($M$48=0),D82-D80,0)</f>
        <v>0</v>
      </c>
      <c r="E81" s="725">
        <f>IF(($I$7="X")*AND($M$48=0),E82-E80,0)</f>
        <v>0</v>
      </c>
      <c r="F81" s="725">
        <f>IF(($I$7="X")*AND($M$48=0),F82-F80,0)</f>
        <v>0</v>
      </c>
      <c r="G81" s="710"/>
      <c r="H81" s="710">
        <f t="shared" si="32"/>
        <v>0</v>
      </c>
      <c r="I81" s="697"/>
      <c r="J81" s="697"/>
      <c r="K81" s="697"/>
      <c r="L81" s="697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</row>
    <row r="82" spans="1:30" x14ac:dyDescent="0.25">
      <c r="A82" s="703" t="s">
        <v>432</v>
      </c>
      <c r="B82" s="725">
        <f>IF($M$48&gt;0,B76*IDCPCNT,(ROUND((IF(O53*B76&gt;0,O53*B76,0*B76))*0.505,0)+ROUND((IF(O53&gt;0,(1-O53),1)*B76)*0.51,0)))</f>
        <v>0</v>
      </c>
      <c r="C82" s="725">
        <f>IF($M$48&gt;0,C76*IDCPCNT,(ROUND((IF(P53*C76&gt;0,P53*C76,0*C76))*0.505,0)+ROUND((IF(P53&gt;0,(1-P53),1)*C76)*0.51,0)))</f>
        <v>0</v>
      </c>
      <c r="D82" s="725">
        <f>IF($M$48&gt;0,D76*IDCPCNT,(ROUND((IF(Q53*D76&gt;0,Q53*D76,0*D76))*0.505,0)+ROUND((IF(Q53&gt;0,(1-Q53),1)*D76)*0.51,0)))</f>
        <v>0</v>
      </c>
      <c r="E82" s="725">
        <f>IF($M$48&gt;0,E76*IDCPCNT,(ROUND((IF(R53*E76&gt;0,R53*E76,0*E76))*0.505,0)+ROUND((IF(R53&gt;0,(1-R53),1)*E76)*0.51,0)))</f>
        <v>0</v>
      </c>
      <c r="F82" s="725">
        <f>IF($M$48&gt;0,F76*IDCPCNT,(ROUND((IF(S53*F76&gt;0,S53*F76,0*F76))*0.505,0)+ROUND((IF(S53&gt;0,(1-S53),1)*F76)*0.51,0)))</f>
        <v>0</v>
      </c>
      <c r="G82" s="710"/>
      <c r="H82" s="710">
        <f t="shared" si="32"/>
        <v>0</v>
      </c>
      <c r="I82" s="697"/>
      <c r="J82" s="697"/>
      <c r="K82" s="697"/>
      <c r="L82" s="697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</row>
    <row r="83" spans="1:30" x14ac:dyDescent="0.25">
      <c r="A83" s="703" t="s">
        <v>423</v>
      </c>
      <c r="B83" s="710">
        <f>B75+B79</f>
        <v>0</v>
      </c>
      <c r="C83" s="710">
        <f>C75+C79</f>
        <v>0</v>
      </c>
      <c r="D83" s="710">
        <f>D75+D79</f>
        <v>0</v>
      </c>
      <c r="E83" s="710">
        <f>E75+E79</f>
        <v>0</v>
      </c>
      <c r="F83" s="710">
        <f>F75+F79</f>
        <v>0</v>
      </c>
      <c r="G83" s="710"/>
      <c r="H83" s="710">
        <f t="shared" si="32"/>
        <v>0</v>
      </c>
      <c r="I83" s="696"/>
      <c r="J83" s="696"/>
      <c r="K83" s="696"/>
      <c r="L83" s="696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</row>
    <row r="84" spans="1:30" x14ac:dyDescent="0.25">
      <c r="A84" s="703" t="s">
        <v>433</v>
      </c>
      <c r="B84" s="710">
        <f>B82+B83</f>
        <v>0</v>
      </c>
      <c r="C84" s="710">
        <f>C82+C83</f>
        <v>0</v>
      </c>
      <c r="D84" s="710">
        <f>D82+D83</f>
        <v>0</v>
      </c>
      <c r="E84" s="710">
        <f>E82+E83</f>
        <v>0</v>
      </c>
      <c r="F84" s="710">
        <f>F82+F83</f>
        <v>0</v>
      </c>
      <c r="G84" s="710"/>
      <c r="H84" s="710">
        <f>SUM(H82+H83)</f>
        <v>0</v>
      </c>
      <c r="I84" s="696"/>
      <c r="J84" s="696"/>
      <c r="K84" s="696"/>
      <c r="L84" s="696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</row>
    <row r="85" spans="1:30" x14ac:dyDescent="0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30" x14ac:dyDescent="0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30" x14ac:dyDescent="0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30" x14ac:dyDescent="0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30" x14ac:dyDescent="0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30" x14ac:dyDescent="0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30" x14ac:dyDescent="0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30" x14ac:dyDescent="0.25">
      <c r="A92"/>
      <c r="B92"/>
      <c r="C92"/>
      <c r="D92"/>
      <c r="E92"/>
      <c r="F92"/>
      <c r="G92"/>
      <c r="H92"/>
      <c r="I92"/>
      <c r="J92"/>
      <c r="K92"/>
      <c r="L92"/>
      <c r="M92"/>
    </row>
  </sheetData>
  <sheetProtection algorithmName="SHA-512" hashValue="ioPxAhk3j7yhVtEINY9kjx8+hfE2gdWy9WeR+qfAlj+PTw6nwpeg7ieOj20EHociANy49dKL+Zc67yXHA5B63w==" saltValue="wr5FToqK4fJX5SqVwHcwjQ==" spinCount="100000" sheet="1" objects="1" scenarios="1"/>
  <mergeCells count="15">
    <mergeCell ref="B70:H71"/>
    <mergeCell ref="N1:Q1"/>
    <mergeCell ref="N2:Q3"/>
    <mergeCell ref="N4:O4"/>
    <mergeCell ref="F2:H2"/>
    <mergeCell ref="N12:W12"/>
    <mergeCell ref="L7:L8"/>
    <mergeCell ref="L3:L5"/>
    <mergeCell ref="N9:O9"/>
    <mergeCell ref="N10:O10"/>
    <mergeCell ref="N7:O7"/>
    <mergeCell ref="N8:O8"/>
    <mergeCell ref="N11:O11"/>
    <mergeCell ref="N6:O6"/>
    <mergeCell ref="J7:K7"/>
  </mergeCells>
  <phoneticPr fontId="0" type="noConversion"/>
  <pageMargins left="0.5" right="0.5" top="0.35" bottom="0.2" header="0.35" footer="0.35"/>
  <pageSetup scale="56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rgb="FF92D050"/>
  </sheetPr>
  <dimension ref="A1:K71"/>
  <sheetViews>
    <sheetView zoomScale="90" zoomScaleNormal="90" zoomScaleSheetLayoutView="90" workbookViewId="0">
      <selection activeCell="L20" sqref="L20"/>
    </sheetView>
  </sheetViews>
  <sheetFormatPr defaultRowHeight="12.5" x14ac:dyDescent="0.25"/>
  <cols>
    <col min="1" max="1" width="7" customWidth="1"/>
    <col min="2" max="2" width="17.453125" customWidth="1"/>
    <col min="3" max="3" width="13.1796875" customWidth="1"/>
    <col min="4" max="4" width="6.26953125" customWidth="1"/>
    <col min="5" max="5" width="5.81640625" customWidth="1"/>
    <col min="6" max="6" width="6.54296875" customWidth="1"/>
    <col min="7" max="9" width="12.7265625" customWidth="1"/>
    <col min="10" max="10" width="11" customWidth="1"/>
    <col min="11" max="11" width="7.81640625" customWidth="1"/>
  </cols>
  <sheetData>
    <row r="1" spans="1:11" ht="18" x14ac:dyDescent="0.4">
      <c r="F1" s="435" t="s">
        <v>302</v>
      </c>
      <c r="I1" s="455" t="s">
        <v>319</v>
      </c>
      <c r="J1" s="456">
        <f ca="1">TODAY()</f>
        <v>44999</v>
      </c>
    </row>
    <row r="2" spans="1:11" ht="15.5" x14ac:dyDescent="0.35">
      <c r="F2" s="449" t="str">
        <f>IF('Salary Detail'!E8&gt;0, CONCATENATE("Sponsor: ",'Salary Detail'!E8), " ")</f>
        <v xml:space="preserve"> </v>
      </c>
    </row>
    <row r="3" spans="1:11" ht="15.5" x14ac:dyDescent="0.35">
      <c r="F3" s="449" t="str">
        <f>IF('Salary Detail'!E5&gt;0,CONCATENATE("Principal Investigator: ",'Salary Detail'!E5)," ")</f>
        <v xml:space="preserve"> </v>
      </c>
    </row>
    <row r="4" spans="1:11" ht="15.5" x14ac:dyDescent="0.35">
      <c r="F4" s="449" t="str">
        <f>IF('Salary Detail'!E6&gt;0,CONCATENATE("Department: ",'Salary Detail'!E6)," ")</f>
        <v xml:space="preserve"> </v>
      </c>
    </row>
    <row r="5" spans="1:11" ht="15.5" x14ac:dyDescent="0.35">
      <c r="F5" s="450" t="str">
        <f>IF('Salary Detail'!E7&gt;0,CONCATENATE("“",'Salary Detail'!E7,"”")," ")</f>
        <v xml:space="preserve"> </v>
      </c>
    </row>
    <row r="6" spans="1:11" ht="14.15" customHeight="1" x14ac:dyDescent="0.4">
      <c r="E6" s="435"/>
    </row>
    <row r="7" spans="1:11" ht="14.15" customHeight="1" x14ac:dyDescent="0.4">
      <c r="A7" s="378" t="s">
        <v>310</v>
      </c>
      <c r="E7" s="435"/>
    </row>
    <row r="8" spans="1:11" ht="14.15" customHeight="1" x14ac:dyDescent="0.4">
      <c r="A8" s="378" t="s">
        <v>314</v>
      </c>
      <c r="E8" s="435"/>
    </row>
    <row r="9" spans="1:11" ht="14.15" customHeight="1" x14ac:dyDescent="0.4">
      <c r="A9" s="378" t="s">
        <v>315</v>
      </c>
      <c r="E9" s="435"/>
    </row>
    <row r="10" spans="1:11" ht="14.15" customHeight="1" x14ac:dyDescent="0.4">
      <c r="A10" s="378" t="s">
        <v>309</v>
      </c>
      <c r="E10" s="435"/>
    </row>
    <row r="11" spans="1:11" ht="14.15" customHeight="1" thickBot="1" x14ac:dyDescent="0.3">
      <c r="A11" s="378" t="s">
        <v>311</v>
      </c>
      <c r="E11" s="471" t="str">
        <f>IF('Salary Detail'!F18=0,"",'Salary Detail'!F18)</f>
        <v/>
      </c>
      <c r="F11" s="378" t="s">
        <v>312</v>
      </c>
      <c r="J11" s="470">
        <f>IF(E11="X",'Salary Detail'!$L$18,0)</f>
        <v>0</v>
      </c>
    </row>
    <row r="12" spans="1:11" ht="13" thickBot="1" x14ac:dyDescent="0.3"/>
    <row r="13" spans="1:11" ht="39.5" thickBot="1" x14ac:dyDescent="0.35">
      <c r="A13" s="451" t="s">
        <v>317</v>
      </c>
      <c r="B13" s="436" t="s">
        <v>225</v>
      </c>
      <c r="C13" s="436" t="s">
        <v>227</v>
      </c>
      <c r="D13" s="437" t="s">
        <v>303</v>
      </c>
      <c r="E13" s="438" t="s">
        <v>304</v>
      </c>
      <c r="F13" s="438" t="s">
        <v>308</v>
      </c>
      <c r="G13" s="438" t="s">
        <v>305</v>
      </c>
      <c r="H13" s="438" t="s">
        <v>306</v>
      </c>
      <c r="I13" s="438" t="s">
        <v>313</v>
      </c>
      <c r="J13" s="438" t="s">
        <v>307</v>
      </c>
      <c r="K13" s="445"/>
    </row>
    <row r="14" spans="1:11" ht="15" customHeight="1" thickBot="1" x14ac:dyDescent="0.3">
      <c r="A14" s="472" t="str">
        <f>IF('Salary Detail'!P24&gt;0,'Salary Detail'!P24," ")</f>
        <v xml:space="preserve"> </v>
      </c>
      <c r="B14" s="473" t="str">
        <f>IF('Salary Detail'!A24&gt;0,'Salary Detail'!A24," ")</f>
        <v xml:space="preserve"> </v>
      </c>
      <c r="C14" s="473" t="str">
        <f>IF('Salary Detail'!B24&gt;0,'Salary Detail'!B24," ")</f>
        <v xml:space="preserve"> </v>
      </c>
      <c r="D14" s="642" t="str">
        <f>IF('Salary Detail'!C24=0,"",'Salary Detail'!C24)</f>
        <v/>
      </c>
      <c r="E14" s="643" t="str">
        <f>IF('Salary Detail'!D24=0,"",'Salary Detail'!D24)</f>
        <v/>
      </c>
      <c r="F14" s="474" t="str">
        <f>'Salary Detail'!I24</f>
        <v/>
      </c>
      <c r="G14" s="439"/>
      <c r="H14" s="444">
        <f>IF(G14&gt;0,((G14/E14)*12)/D14,0)</f>
        <v>0</v>
      </c>
      <c r="I14" s="446" t="str">
        <f t="shared" ref="I14:I53" si="0">IFERROR(IF(H14&gt;$J$11,F14*$J$11,F14*H14),"")</f>
        <v/>
      </c>
      <c r="J14" s="447">
        <f>IF(G14&gt;0,I14/G14,0)</f>
        <v>0</v>
      </c>
    </row>
    <row r="15" spans="1:11" ht="15" customHeight="1" x14ac:dyDescent="0.25">
      <c r="A15" s="472" t="str">
        <f>IF('Salary Detail'!P25&gt;0,'Salary Detail'!P25," ")</f>
        <v xml:space="preserve"> </v>
      </c>
      <c r="B15" s="475" t="str">
        <f>IF('Salary Detail'!A25&gt;0,'Salary Detail'!A25," ")</f>
        <v xml:space="preserve"> </v>
      </c>
      <c r="C15" s="475" t="str">
        <f>IF('Salary Detail'!B25&gt;0,'Salary Detail'!B25," ")</f>
        <v xml:space="preserve"> </v>
      </c>
      <c r="D15" s="476" t="str">
        <f>IF('Salary Detail'!C25=0,"",'Salary Detail'!C25)</f>
        <v/>
      </c>
      <c r="E15" s="475" t="str">
        <f>IF('Salary Detail'!D25=0,"",'Salary Detail'!D25)</f>
        <v/>
      </c>
      <c r="F15" s="476" t="str">
        <f>'Salary Detail'!I25</f>
        <v/>
      </c>
      <c r="G15" s="440"/>
      <c r="H15" s="444">
        <f>IF(G15&gt;0,((G15/E15)*12)/D15,0)</f>
        <v>0</v>
      </c>
      <c r="I15" s="442" t="str">
        <f t="shared" si="0"/>
        <v/>
      </c>
      <c r="J15" s="448">
        <f t="shared" ref="J15:J53" si="1">IF(G15&gt;0,I15/G15,0)</f>
        <v>0</v>
      </c>
    </row>
    <row r="16" spans="1:11" ht="15" customHeight="1" x14ac:dyDescent="0.25">
      <c r="A16" s="472" t="str">
        <f>IF('Salary Detail'!P26&gt;0,'Salary Detail'!P26," ")</f>
        <v xml:space="preserve"> </v>
      </c>
      <c r="B16" s="477" t="str">
        <f>IF('Salary Detail'!A26&gt;0,'Salary Detail'!A26," ")</f>
        <v xml:space="preserve"> </v>
      </c>
      <c r="C16" s="475" t="str">
        <f>IF('Salary Detail'!B26&gt;0,'Salary Detail'!B26," ")</f>
        <v xml:space="preserve"> </v>
      </c>
      <c r="D16" s="476" t="str">
        <f>IF('Salary Detail'!C26=0,"",'Salary Detail'!C26)</f>
        <v/>
      </c>
      <c r="E16" s="475" t="str">
        <f>IF('Salary Detail'!D26=0,"",'Salary Detail'!D26)</f>
        <v/>
      </c>
      <c r="F16" s="476" t="str">
        <f>'Salary Detail'!I26</f>
        <v/>
      </c>
      <c r="G16" s="440"/>
      <c r="H16" s="443">
        <f t="shared" ref="H16:H53" si="2">IF(G16&gt;0,((G16/E16)*12)/D16,0)</f>
        <v>0</v>
      </c>
      <c r="I16" s="442" t="str">
        <f t="shared" si="0"/>
        <v/>
      </c>
      <c r="J16" s="448">
        <f t="shared" si="1"/>
        <v>0</v>
      </c>
    </row>
    <row r="17" spans="1:10" ht="15" customHeight="1" x14ac:dyDescent="0.25">
      <c r="A17" s="472" t="str">
        <f>IF('Salary Detail'!P27&gt;0,'Salary Detail'!P27," ")</f>
        <v xml:space="preserve"> </v>
      </c>
      <c r="B17" s="475" t="str">
        <f>IF('Salary Detail'!A27&gt;0,'Salary Detail'!A27," ")</f>
        <v xml:space="preserve"> </v>
      </c>
      <c r="C17" s="475" t="str">
        <f>IF('Salary Detail'!B27&gt;0,'Salary Detail'!B27," ")</f>
        <v xml:space="preserve"> </v>
      </c>
      <c r="D17" s="476" t="str">
        <f>IF('Salary Detail'!C27=0,"",'Salary Detail'!C27)</f>
        <v/>
      </c>
      <c r="E17" s="475" t="str">
        <f>IF('Salary Detail'!D27=0,"",'Salary Detail'!D27)</f>
        <v/>
      </c>
      <c r="F17" s="476" t="str">
        <f>'Salary Detail'!I27</f>
        <v/>
      </c>
      <c r="G17" s="440"/>
      <c r="H17" s="443">
        <f t="shared" si="2"/>
        <v>0</v>
      </c>
      <c r="I17" s="442" t="str">
        <f t="shared" si="0"/>
        <v/>
      </c>
      <c r="J17" s="448">
        <f t="shared" si="1"/>
        <v>0</v>
      </c>
    </row>
    <row r="18" spans="1:10" ht="15" customHeight="1" x14ac:dyDescent="0.25">
      <c r="A18" s="472" t="str">
        <f>IF('Salary Detail'!P28&gt;0,'Salary Detail'!P28," ")</f>
        <v xml:space="preserve"> </v>
      </c>
      <c r="B18" s="475" t="str">
        <f>IF('Salary Detail'!A28&gt;0,'Salary Detail'!A28," ")</f>
        <v xml:space="preserve"> </v>
      </c>
      <c r="C18" s="475" t="str">
        <f>IF('Salary Detail'!B28&gt;0,'Salary Detail'!B28," ")</f>
        <v xml:space="preserve"> </v>
      </c>
      <c r="D18" s="476" t="str">
        <f>IF('Salary Detail'!C28=0,"",'Salary Detail'!C28)</f>
        <v/>
      </c>
      <c r="E18" s="475" t="str">
        <f>IF('Salary Detail'!D28=0,"",'Salary Detail'!D28)</f>
        <v/>
      </c>
      <c r="F18" s="476" t="str">
        <f>'Salary Detail'!I28</f>
        <v/>
      </c>
      <c r="G18" s="440"/>
      <c r="H18" s="443">
        <f t="shared" si="2"/>
        <v>0</v>
      </c>
      <c r="I18" s="442" t="str">
        <f t="shared" si="0"/>
        <v/>
      </c>
      <c r="J18" s="448">
        <f t="shared" si="1"/>
        <v>0</v>
      </c>
    </row>
    <row r="19" spans="1:10" ht="15" customHeight="1" x14ac:dyDescent="0.25">
      <c r="A19" s="472" t="str">
        <f>IF('Salary Detail'!P29&gt;0,'Salary Detail'!P29," ")</f>
        <v xml:space="preserve"> </v>
      </c>
      <c r="B19" s="475" t="str">
        <f>IF('Salary Detail'!A29&gt;0,'Salary Detail'!A29," ")</f>
        <v xml:space="preserve"> </v>
      </c>
      <c r="C19" s="475" t="str">
        <f>IF('Salary Detail'!B29&gt;0,'Salary Detail'!B29," ")</f>
        <v xml:space="preserve"> </v>
      </c>
      <c r="D19" s="476" t="str">
        <f>IF('Salary Detail'!C29=0,"",'Salary Detail'!C29)</f>
        <v/>
      </c>
      <c r="E19" s="475" t="str">
        <f>IF('Salary Detail'!D29=0,"",'Salary Detail'!D29)</f>
        <v/>
      </c>
      <c r="F19" s="476" t="str">
        <f>'Salary Detail'!I29</f>
        <v/>
      </c>
      <c r="G19" s="440"/>
      <c r="H19" s="443">
        <f t="shared" si="2"/>
        <v>0</v>
      </c>
      <c r="I19" s="442" t="str">
        <f t="shared" si="0"/>
        <v/>
      </c>
      <c r="J19" s="448">
        <f t="shared" si="1"/>
        <v>0</v>
      </c>
    </row>
    <row r="20" spans="1:10" ht="15" customHeight="1" x14ac:dyDescent="0.25">
      <c r="A20" s="472" t="str">
        <f>IF('Salary Detail'!P30&gt;0,'Salary Detail'!P30," ")</f>
        <v xml:space="preserve"> </v>
      </c>
      <c r="B20" s="475" t="str">
        <f>IF('Salary Detail'!A30&gt;0,'Salary Detail'!A30," ")</f>
        <v xml:space="preserve"> </v>
      </c>
      <c r="C20" s="475" t="str">
        <f>IF('Salary Detail'!B30&gt;0,'Salary Detail'!B30," ")</f>
        <v xml:space="preserve"> </v>
      </c>
      <c r="D20" s="476" t="str">
        <f>IF('Salary Detail'!C30=0,"",'Salary Detail'!C30)</f>
        <v/>
      </c>
      <c r="E20" s="475" t="str">
        <f>IF('Salary Detail'!D30=0,"",'Salary Detail'!D30)</f>
        <v/>
      </c>
      <c r="F20" s="476" t="str">
        <f>'Salary Detail'!I30</f>
        <v/>
      </c>
      <c r="G20" s="440"/>
      <c r="H20" s="443">
        <f t="shared" si="2"/>
        <v>0</v>
      </c>
      <c r="I20" s="442" t="str">
        <f t="shared" si="0"/>
        <v/>
      </c>
      <c r="J20" s="448">
        <f t="shared" si="1"/>
        <v>0</v>
      </c>
    </row>
    <row r="21" spans="1:10" ht="15" customHeight="1" x14ac:dyDescent="0.25">
      <c r="A21" s="472" t="str">
        <f>IF('Salary Detail'!P31&gt;0,'Salary Detail'!P31," ")</f>
        <v xml:space="preserve"> </v>
      </c>
      <c r="B21" s="475" t="str">
        <f>IF('Salary Detail'!A31&gt;0,'Salary Detail'!A31," ")</f>
        <v xml:space="preserve"> </v>
      </c>
      <c r="C21" s="475" t="str">
        <f>IF('Salary Detail'!B31&gt;0,'Salary Detail'!B31," ")</f>
        <v xml:space="preserve"> </v>
      </c>
      <c r="D21" s="476" t="str">
        <f>IF('Salary Detail'!C31=0,"",'Salary Detail'!C31)</f>
        <v/>
      </c>
      <c r="E21" s="475" t="str">
        <f>IF('Salary Detail'!D31=0,"",'Salary Detail'!D31)</f>
        <v/>
      </c>
      <c r="F21" s="476" t="str">
        <f>'Salary Detail'!I31</f>
        <v/>
      </c>
      <c r="G21" s="440"/>
      <c r="H21" s="443">
        <f t="shared" si="2"/>
        <v>0</v>
      </c>
      <c r="I21" s="442" t="str">
        <f t="shared" si="0"/>
        <v/>
      </c>
      <c r="J21" s="448">
        <f t="shared" si="1"/>
        <v>0</v>
      </c>
    </row>
    <row r="22" spans="1:10" ht="15" customHeight="1" x14ac:dyDescent="0.25">
      <c r="A22" s="472" t="str">
        <f>IF('Salary Detail'!P32&gt;0,'Salary Detail'!P32," ")</f>
        <v xml:space="preserve"> </v>
      </c>
      <c r="B22" s="475" t="str">
        <f>IF('Salary Detail'!A32&gt;0,'Salary Detail'!A32," ")</f>
        <v xml:space="preserve"> </v>
      </c>
      <c r="C22" s="475" t="str">
        <f>IF('Salary Detail'!B32&gt;0,'Salary Detail'!B32," ")</f>
        <v xml:space="preserve"> </v>
      </c>
      <c r="D22" s="476" t="str">
        <f>IF('Salary Detail'!C32=0,"",'Salary Detail'!C32)</f>
        <v/>
      </c>
      <c r="E22" s="475" t="str">
        <f>IF('Salary Detail'!D32=0,"",'Salary Detail'!D32)</f>
        <v/>
      </c>
      <c r="F22" s="476" t="str">
        <f>'Salary Detail'!I32</f>
        <v/>
      </c>
      <c r="G22" s="440"/>
      <c r="H22" s="443">
        <f t="shared" si="2"/>
        <v>0</v>
      </c>
      <c r="I22" s="442" t="str">
        <f t="shared" si="0"/>
        <v/>
      </c>
      <c r="J22" s="448">
        <f t="shared" si="1"/>
        <v>0</v>
      </c>
    </row>
    <row r="23" spans="1:10" ht="15" customHeight="1" x14ac:dyDescent="0.25">
      <c r="A23" s="472" t="str">
        <f>IF('Salary Detail'!P33&gt;0,'Salary Detail'!P33," ")</f>
        <v xml:space="preserve"> </v>
      </c>
      <c r="B23" s="475" t="str">
        <f>IF('Salary Detail'!A33&gt;0,'Salary Detail'!A33," ")</f>
        <v xml:space="preserve"> </v>
      </c>
      <c r="C23" s="475" t="str">
        <f>IF('Salary Detail'!B33&gt;0,'Salary Detail'!B33," ")</f>
        <v xml:space="preserve"> </v>
      </c>
      <c r="D23" s="476" t="str">
        <f>IF('Salary Detail'!C33=0,"",'Salary Detail'!C33)</f>
        <v/>
      </c>
      <c r="E23" s="475" t="str">
        <f>IF('Salary Detail'!D33=0,"",'Salary Detail'!D33)</f>
        <v/>
      </c>
      <c r="F23" s="476" t="str">
        <f>'Salary Detail'!I33</f>
        <v/>
      </c>
      <c r="G23" s="440"/>
      <c r="H23" s="443">
        <f t="shared" si="2"/>
        <v>0</v>
      </c>
      <c r="I23" s="442" t="str">
        <f t="shared" si="0"/>
        <v/>
      </c>
      <c r="J23" s="448">
        <f t="shared" si="1"/>
        <v>0</v>
      </c>
    </row>
    <row r="24" spans="1:10" ht="15" customHeight="1" x14ac:dyDescent="0.25">
      <c r="A24" s="472" t="str">
        <f>IF('Salary Detail'!P34&gt;0,'Salary Detail'!P34," ")</f>
        <v xml:space="preserve"> </v>
      </c>
      <c r="B24" s="475" t="str">
        <f>IF('Salary Detail'!A34&gt;0,'Salary Detail'!A34," ")</f>
        <v xml:space="preserve"> </v>
      </c>
      <c r="C24" s="475" t="str">
        <f>IF('Salary Detail'!B34&gt;0,'Salary Detail'!B34," ")</f>
        <v xml:space="preserve"> </v>
      </c>
      <c r="D24" s="476" t="str">
        <f>IF('Salary Detail'!C34=0,"",'Salary Detail'!C34)</f>
        <v/>
      </c>
      <c r="E24" s="475" t="str">
        <f>IF('Salary Detail'!D34=0,"",'Salary Detail'!D34)</f>
        <v/>
      </c>
      <c r="F24" s="476" t="str">
        <f>'Salary Detail'!I34</f>
        <v/>
      </c>
      <c r="G24" s="440"/>
      <c r="H24" s="443">
        <f t="shared" si="2"/>
        <v>0</v>
      </c>
      <c r="I24" s="442" t="str">
        <f t="shared" si="0"/>
        <v/>
      </c>
      <c r="J24" s="448">
        <f t="shared" si="1"/>
        <v>0</v>
      </c>
    </row>
    <row r="25" spans="1:10" ht="15" customHeight="1" x14ac:dyDescent="0.25">
      <c r="A25" s="472" t="str">
        <f>IF('Salary Detail'!P35&gt;0,'Salary Detail'!P35," ")</f>
        <v xml:space="preserve"> </v>
      </c>
      <c r="B25" s="475" t="str">
        <f>IF('Salary Detail'!A35&gt;0,'Salary Detail'!A35," ")</f>
        <v xml:space="preserve"> </v>
      </c>
      <c r="C25" s="475" t="str">
        <f>IF('Salary Detail'!B35&gt;0,'Salary Detail'!B35," ")</f>
        <v xml:space="preserve"> </v>
      </c>
      <c r="D25" s="476" t="str">
        <f>IF('Salary Detail'!C35=0,"",'Salary Detail'!C35)</f>
        <v/>
      </c>
      <c r="E25" s="475" t="str">
        <f>IF('Salary Detail'!D35=0,"",'Salary Detail'!D35)</f>
        <v/>
      </c>
      <c r="F25" s="476" t="str">
        <f>'Salary Detail'!I35</f>
        <v/>
      </c>
      <c r="G25" s="440"/>
      <c r="H25" s="443">
        <f t="shared" si="2"/>
        <v>0</v>
      </c>
      <c r="I25" s="442" t="str">
        <f t="shared" si="0"/>
        <v/>
      </c>
      <c r="J25" s="448">
        <f t="shared" si="1"/>
        <v>0</v>
      </c>
    </row>
    <row r="26" spans="1:10" ht="15" customHeight="1" x14ac:dyDescent="0.25">
      <c r="A26" s="472" t="str">
        <f>IF('Salary Detail'!P36&gt;0,'Salary Detail'!P36," ")</f>
        <v xml:space="preserve"> </v>
      </c>
      <c r="B26" s="475" t="str">
        <f>IF('Salary Detail'!A36&gt;0,'Salary Detail'!A36," ")</f>
        <v xml:space="preserve"> </v>
      </c>
      <c r="C26" s="475" t="str">
        <f>IF('Salary Detail'!B36&gt;0,'Salary Detail'!B36," ")</f>
        <v xml:space="preserve"> </v>
      </c>
      <c r="D26" s="476" t="str">
        <f>IF('Salary Detail'!C36=0,"",'Salary Detail'!C36)</f>
        <v/>
      </c>
      <c r="E26" s="475" t="str">
        <f>IF('Salary Detail'!D36=0,"",'Salary Detail'!D36)</f>
        <v/>
      </c>
      <c r="F26" s="476" t="str">
        <f>'Salary Detail'!I36</f>
        <v/>
      </c>
      <c r="G26" s="440"/>
      <c r="H26" s="443">
        <f t="shared" si="2"/>
        <v>0</v>
      </c>
      <c r="I26" s="442" t="str">
        <f t="shared" si="0"/>
        <v/>
      </c>
      <c r="J26" s="448">
        <f t="shared" si="1"/>
        <v>0</v>
      </c>
    </row>
    <row r="27" spans="1:10" ht="15" customHeight="1" x14ac:dyDescent="0.25">
      <c r="A27" s="472" t="str">
        <f>IF('Salary Detail'!P37&gt;0,'Salary Detail'!P37," ")</f>
        <v xml:space="preserve"> </v>
      </c>
      <c r="B27" s="475" t="str">
        <f>IF('Salary Detail'!A37&gt;0,'Salary Detail'!A37," ")</f>
        <v xml:space="preserve"> </v>
      </c>
      <c r="C27" s="475" t="str">
        <f>IF('Salary Detail'!B37&gt;0,'Salary Detail'!B37," ")</f>
        <v xml:space="preserve"> </v>
      </c>
      <c r="D27" s="476" t="str">
        <f>IF('Salary Detail'!C37=0,"",'Salary Detail'!C37)</f>
        <v/>
      </c>
      <c r="E27" s="475" t="str">
        <f>IF('Salary Detail'!D37=0,"",'Salary Detail'!D37)</f>
        <v/>
      </c>
      <c r="F27" s="476" t="str">
        <f>'Salary Detail'!I37</f>
        <v/>
      </c>
      <c r="G27" s="440"/>
      <c r="H27" s="443">
        <f t="shared" si="2"/>
        <v>0</v>
      </c>
      <c r="I27" s="442" t="str">
        <f t="shared" si="0"/>
        <v/>
      </c>
      <c r="J27" s="448">
        <f t="shared" si="1"/>
        <v>0</v>
      </c>
    </row>
    <row r="28" spans="1:10" ht="15" customHeight="1" x14ac:dyDescent="0.25">
      <c r="A28" s="472" t="str">
        <f>IF('Salary Detail'!P38&gt;0,'Salary Detail'!P38," ")</f>
        <v xml:space="preserve"> </v>
      </c>
      <c r="B28" s="475" t="str">
        <f>IF('Salary Detail'!A38&gt;0,'Salary Detail'!A38," ")</f>
        <v xml:space="preserve"> </v>
      </c>
      <c r="C28" s="475" t="str">
        <f>IF('Salary Detail'!B38&gt;0,'Salary Detail'!B38," ")</f>
        <v xml:space="preserve"> </v>
      </c>
      <c r="D28" s="476" t="str">
        <f>IF('Salary Detail'!C38=0,"",'Salary Detail'!C38)</f>
        <v/>
      </c>
      <c r="E28" s="475" t="str">
        <f>IF('Salary Detail'!D38=0,"",'Salary Detail'!D38)</f>
        <v/>
      </c>
      <c r="F28" s="476" t="str">
        <f>'Salary Detail'!I38</f>
        <v/>
      </c>
      <c r="G28" s="440"/>
      <c r="H28" s="443">
        <f t="shared" si="2"/>
        <v>0</v>
      </c>
      <c r="I28" s="442" t="str">
        <f t="shared" si="0"/>
        <v/>
      </c>
      <c r="J28" s="448">
        <f t="shared" si="1"/>
        <v>0</v>
      </c>
    </row>
    <row r="29" spans="1:10" ht="15" customHeight="1" x14ac:dyDescent="0.25">
      <c r="A29" s="472" t="str">
        <f>IF('Salary Detail'!P39&gt;0,'Salary Detail'!P39," ")</f>
        <v xml:space="preserve"> </v>
      </c>
      <c r="B29" s="475" t="str">
        <f>IF('Salary Detail'!A39&gt;0,'Salary Detail'!A39," ")</f>
        <v xml:space="preserve"> </v>
      </c>
      <c r="C29" s="475" t="str">
        <f>IF('Salary Detail'!B39&gt;0,'Salary Detail'!B39," ")</f>
        <v xml:space="preserve"> </v>
      </c>
      <c r="D29" s="476" t="str">
        <f>IF('Salary Detail'!C39=0,"",'Salary Detail'!C39)</f>
        <v/>
      </c>
      <c r="E29" s="475" t="str">
        <f>IF('Salary Detail'!D39=0,"",'Salary Detail'!D39)</f>
        <v/>
      </c>
      <c r="F29" s="476" t="str">
        <f>'Salary Detail'!I39</f>
        <v/>
      </c>
      <c r="G29" s="440"/>
      <c r="H29" s="443">
        <f t="shared" si="2"/>
        <v>0</v>
      </c>
      <c r="I29" s="442" t="str">
        <f t="shared" si="0"/>
        <v/>
      </c>
      <c r="J29" s="448">
        <f t="shared" si="1"/>
        <v>0</v>
      </c>
    </row>
    <row r="30" spans="1:10" ht="15" customHeight="1" x14ac:dyDescent="0.25">
      <c r="A30" s="472" t="str">
        <f>IF('Salary Detail'!P40&gt;0,'Salary Detail'!P40," ")</f>
        <v xml:space="preserve"> </v>
      </c>
      <c r="B30" s="475" t="str">
        <f>IF('Salary Detail'!A40&gt;0,'Salary Detail'!A40," ")</f>
        <v xml:space="preserve"> </v>
      </c>
      <c r="C30" s="475" t="str">
        <f>IF('Salary Detail'!B40&gt;0,'Salary Detail'!B40," ")</f>
        <v xml:space="preserve"> </v>
      </c>
      <c r="D30" s="476" t="str">
        <f>IF('Salary Detail'!C40=0,"",'Salary Detail'!C40)</f>
        <v/>
      </c>
      <c r="E30" s="475" t="str">
        <f>IF('Salary Detail'!D40=0,"",'Salary Detail'!D40)</f>
        <v/>
      </c>
      <c r="F30" s="476" t="str">
        <f>'Salary Detail'!I40</f>
        <v/>
      </c>
      <c r="G30" s="440"/>
      <c r="H30" s="443">
        <f t="shared" si="2"/>
        <v>0</v>
      </c>
      <c r="I30" s="442" t="str">
        <f t="shared" si="0"/>
        <v/>
      </c>
      <c r="J30" s="448">
        <f t="shared" si="1"/>
        <v>0</v>
      </c>
    </row>
    <row r="31" spans="1:10" ht="15" customHeight="1" x14ac:dyDescent="0.25">
      <c r="A31" s="472" t="str">
        <f>IF('Salary Detail'!P41&gt;0,'Salary Detail'!P41," ")</f>
        <v xml:space="preserve"> </v>
      </c>
      <c r="B31" s="475" t="str">
        <f>IF('Salary Detail'!A41&gt;0,'Salary Detail'!A41," ")</f>
        <v xml:space="preserve"> </v>
      </c>
      <c r="C31" s="475" t="str">
        <f>IF('Salary Detail'!B41&gt;0,'Salary Detail'!B41," ")</f>
        <v xml:space="preserve"> </v>
      </c>
      <c r="D31" s="476" t="str">
        <f>IF('Salary Detail'!C41=0,"",'Salary Detail'!C41)</f>
        <v/>
      </c>
      <c r="E31" s="475" t="str">
        <f>IF('Salary Detail'!D41=0,"",'Salary Detail'!D41)</f>
        <v/>
      </c>
      <c r="F31" s="476" t="str">
        <f>'Salary Detail'!I41</f>
        <v/>
      </c>
      <c r="G31" s="440"/>
      <c r="H31" s="443">
        <f t="shared" si="2"/>
        <v>0</v>
      </c>
      <c r="I31" s="442" t="str">
        <f t="shared" si="0"/>
        <v/>
      </c>
      <c r="J31" s="448">
        <f t="shared" si="1"/>
        <v>0</v>
      </c>
    </row>
    <row r="32" spans="1:10" ht="15" customHeight="1" x14ac:dyDescent="0.25">
      <c r="A32" s="472" t="str">
        <f>IF('Salary Detail'!P42&gt;0,'Salary Detail'!P42," ")</f>
        <v xml:space="preserve"> </v>
      </c>
      <c r="B32" s="475" t="str">
        <f>IF('Salary Detail'!A42&gt;0,'Salary Detail'!A42," ")</f>
        <v xml:space="preserve"> </v>
      </c>
      <c r="C32" s="475" t="str">
        <f>IF('Salary Detail'!B42&gt;0,'Salary Detail'!B42," ")</f>
        <v xml:space="preserve"> </v>
      </c>
      <c r="D32" s="476" t="str">
        <f>IF('Salary Detail'!C42=0,"",'Salary Detail'!C42)</f>
        <v/>
      </c>
      <c r="E32" s="475" t="str">
        <f>IF('Salary Detail'!D42=0,"",'Salary Detail'!D42)</f>
        <v/>
      </c>
      <c r="F32" s="476" t="str">
        <f>'Salary Detail'!I42</f>
        <v/>
      </c>
      <c r="G32" s="440"/>
      <c r="H32" s="443">
        <f t="shared" si="2"/>
        <v>0</v>
      </c>
      <c r="I32" s="442" t="str">
        <f t="shared" si="0"/>
        <v/>
      </c>
      <c r="J32" s="448">
        <f t="shared" si="1"/>
        <v>0</v>
      </c>
    </row>
    <row r="33" spans="1:10" ht="15" customHeight="1" x14ac:dyDescent="0.25">
      <c r="A33" s="472" t="str">
        <f>IF('Salary Detail'!P43&gt;0,'Salary Detail'!P43," ")</f>
        <v xml:space="preserve"> </v>
      </c>
      <c r="B33" s="475" t="str">
        <f>IF('Salary Detail'!A43&gt;0,'Salary Detail'!A43," ")</f>
        <v xml:space="preserve"> </v>
      </c>
      <c r="C33" s="475" t="str">
        <f>IF('Salary Detail'!B43&gt;0,'Salary Detail'!B43," ")</f>
        <v xml:space="preserve"> </v>
      </c>
      <c r="D33" s="476" t="str">
        <f>IF('Salary Detail'!C43=0,"",'Salary Detail'!C43)</f>
        <v/>
      </c>
      <c r="E33" s="475" t="str">
        <f>IF('Salary Detail'!D43=0,"",'Salary Detail'!D43)</f>
        <v/>
      </c>
      <c r="F33" s="476" t="str">
        <f>'Salary Detail'!I43</f>
        <v/>
      </c>
      <c r="G33" s="440"/>
      <c r="H33" s="443">
        <f t="shared" si="2"/>
        <v>0</v>
      </c>
      <c r="I33" s="442" t="str">
        <f t="shared" si="0"/>
        <v/>
      </c>
      <c r="J33" s="448">
        <f t="shared" si="1"/>
        <v>0</v>
      </c>
    </row>
    <row r="34" spans="1:10" ht="15" customHeight="1" x14ac:dyDescent="0.25">
      <c r="A34" s="472" t="str">
        <f>IF('Salary Detail'!P44&gt;0,'Salary Detail'!P44," ")</f>
        <v xml:space="preserve"> </v>
      </c>
      <c r="B34" s="475" t="str">
        <f>IF('Salary Detail'!A44&gt;0,'Salary Detail'!A44," ")</f>
        <v xml:space="preserve"> </v>
      </c>
      <c r="C34" s="475" t="str">
        <f>IF('Salary Detail'!B44&gt;0,'Salary Detail'!B44," ")</f>
        <v xml:space="preserve"> </v>
      </c>
      <c r="D34" s="476" t="str">
        <f>IF('Salary Detail'!C44=0,"",'Salary Detail'!C44)</f>
        <v/>
      </c>
      <c r="E34" s="475" t="str">
        <f>IF('Salary Detail'!D44=0,"",'Salary Detail'!D44)</f>
        <v/>
      </c>
      <c r="F34" s="476" t="str">
        <f>'Salary Detail'!I44</f>
        <v/>
      </c>
      <c r="G34" s="440"/>
      <c r="H34" s="443">
        <f t="shared" si="2"/>
        <v>0</v>
      </c>
      <c r="I34" s="442" t="str">
        <f t="shared" si="0"/>
        <v/>
      </c>
      <c r="J34" s="448">
        <f t="shared" si="1"/>
        <v>0</v>
      </c>
    </row>
    <row r="35" spans="1:10" ht="15" customHeight="1" x14ac:dyDescent="0.25">
      <c r="A35" s="472" t="str">
        <f>IF('Salary Detail'!P45&gt;0,'Salary Detail'!P45," ")</f>
        <v xml:space="preserve"> </v>
      </c>
      <c r="B35" s="475" t="str">
        <f>IF('Salary Detail'!A45&gt;0,'Salary Detail'!A45," ")</f>
        <v xml:space="preserve"> </v>
      </c>
      <c r="C35" s="475" t="str">
        <f>IF('Salary Detail'!B45&gt;0,'Salary Detail'!B45," ")</f>
        <v xml:space="preserve"> </v>
      </c>
      <c r="D35" s="476" t="str">
        <f>IF('Salary Detail'!C45=0,"",'Salary Detail'!C45)</f>
        <v/>
      </c>
      <c r="E35" s="475" t="str">
        <f>IF('Salary Detail'!D45=0,"",'Salary Detail'!D45)</f>
        <v/>
      </c>
      <c r="F35" s="476" t="str">
        <f>'Salary Detail'!I45</f>
        <v/>
      </c>
      <c r="G35" s="440"/>
      <c r="H35" s="443">
        <f t="shared" si="2"/>
        <v>0</v>
      </c>
      <c r="I35" s="442" t="str">
        <f t="shared" si="0"/>
        <v/>
      </c>
      <c r="J35" s="448">
        <f t="shared" si="1"/>
        <v>0</v>
      </c>
    </row>
    <row r="36" spans="1:10" ht="15" customHeight="1" x14ac:dyDescent="0.25">
      <c r="A36" s="472" t="str">
        <f>IF('Salary Detail'!P46&gt;0,'Salary Detail'!P46," ")</f>
        <v xml:space="preserve"> </v>
      </c>
      <c r="B36" s="475" t="str">
        <f>IF('Salary Detail'!A46&gt;0,'Salary Detail'!A46," ")</f>
        <v xml:space="preserve"> </v>
      </c>
      <c r="C36" s="475" t="str">
        <f>IF('Salary Detail'!B46&gt;0,'Salary Detail'!B46," ")</f>
        <v xml:space="preserve"> </v>
      </c>
      <c r="D36" s="476" t="str">
        <f>IF('Salary Detail'!C46=0,"",'Salary Detail'!C46)</f>
        <v/>
      </c>
      <c r="E36" s="475" t="str">
        <f>IF('Salary Detail'!D46=0,"",'Salary Detail'!D46)</f>
        <v/>
      </c>
      <c r="F36" s="476" t="str">
        <f>'Salary Detail'!I46</f>
        <v/>
      </c>
      <c r="G36" s="440"/>
      <c r="H36" s="443">
        <f t="shared" si="2"/>
        <v>0</v>
      </c>
      <c r="I36" s="442" t="str">
        <f t="shared" si="0"/>
        <v/>
      </c>
      <c r="J36" s="448">
        <f t="shared" si="1"/>
        <v>0</v>
      </c>
    </row>
    <row r="37" spans="1:10" ht="15" customHeight="1" x14ac:dyDescent="0.25">
      <c r="A37" s="472" t="str">
        <f>IF('Salary Detail'!P47&gt;0,'Salary Detail'!P47," ")</f>
        <v xml:space="preserve"> </v>
      </c>
      <c r="B37" s="475" t="str">
        <f>IF('Salary Detail'!A47&gt;0,'Salary Detail'!A47," ")</f>
        <v xml:space="preserve"> </v>
      </c>
      <c r="C37" s="475" t="str">
        <f>IF('Salary Detail'!B47&gt;0,'Salary Detail'!B47," ")</f>
        <v xml:space="preserve"> </v>
      </c>
      <c r="D37" s="476" t="str">
        <f>IF('Salary Detail'!C47=0,"",'Salary Detail'!C47)</f>
        <v/>
      </c>
      <c r="E37" s="475" t="str">
        <f>IF('Salary Detail'!D47=0,"",'Salary Detail'!D47)</f>
        <v/>
      </c>
      <c r="F37" s="476" t="str">
        <f>'Salary Detail'!I47</f>
        <v/>
      </c>
      <c r="G37" s="440"/>
      <c r="H37" s="443">
        <f t="shared" si="2"/>
        <v>0</v>
      </c>
      <c r="I37" s="442" t="str">
        <f t="shared" si="0"/>
        <v/>
      </c>
      <c r="J37" s="448">
        <f t="shared" si="1"/>
        <v>0</v>
      </c>
    </row>
    <row r="38" spans="1:10" ht="15" customHeight="1" x14ac:dyDescent="0.25">
      <c r="A38" s="472" t="str">
        <f>IF('Salary Detail'!P48&gt;0,'Salary Detail'!P48," ")</f>
        <v xml:space="preserve"> </v>
      </c>
      <c r="B38" s="475" t="str">
        <f>IF('Salary Detail'!A48&gt;0,'Salary Detail'!A48," ")</f>
        <v xml:space="preserve"> </v>
      </c>
      <c r="C38" s="475" t="str">
        <f>IF('Salary Detail'!B48&gt;0,'Salary Detail'!B48," ")</f>
        <v xml:space="preserve"> </v>
      </c>
      <c r="D38" s="476" t="str">
        <f>IF('Salary Detail'!C48=0,"",'Salary Detail'!C48)</f>
        <v/>
      </c>
      <c r="E38" s="475" t="str">
        <f>IF('Salary Detail'!D48=0,"",'Salary Detail'!D48)</f>
        <v/>
      </c>
      <c r="F38" s="476" t="str">
        <f>'Salary Detail'!I48</f>
        <v/>
      </c>
      <c r="G38" s="440"/>
      <c r="H38" s="443">
        <f t="shared" si="2"/>
        <v>0</v>
      </c>
      <c r="I38" s="442" t="str">
        <f t="shared" si="0"/>
        <v/>
      </c>
      <c r="J38" s="448">
        <f t="shared" si="1"/>
        <v>0</v>
      </c>
    </row>
    <row r="39" spans="1:10" ht="15" customHeight="1" x14ac:dyDescent="0.25">
      <c r="A39" s="472" t="str">
        <f>IF('Salary Detail'!P49&gt;0,'Salary Detail'!P49," ")</f>
        <v xml:space="preserve"> </v>
      </c>
      <c r="B39" s="475" t="str">
        <f>IF('Salary Detail'!A49&gt;0,'Salary Detail'!A49," ")</f>
        <v xml:space="preserve"> </v>
      </c>
      <c r="C39" s="475" t="str">
        <f>IF('Salary Detail'!B49&gt;0,'Salary Detail'!B49," ")</f>
        <v xml:space="preserve"> </v>
      </c>
      <c r="D39" s="476" t="str">
        <f>IF('Salary Detail'!C49=0,"",'Salary Detail'!C49)</f>
        <v/>
      </c>
      <c r="E39" s="475" t="str">
        <f>IF('Salary Detail'!D49=0,"",'Salary Detail'!D49)</f>
        <v/>
      </c>
      <c r="F39" s="476" t="str">
        <f>'Salary Detail'!I49</f>
        <v/>
      </c>
      <c r="G39" s="440"/>
      <c r="H39" s="443">
        <f t="shared" si="2"/>
        <v>0</v>
      </c>
      <c r="I39" s="442" t="str">
        <f t="shared" si="0"/>
        <v/>
      </c>
      <c r="J39" s="448">
        <f t="shared" si="1"/>
        <v>0</v>
      </c>
    </row>
    <row r="40" spans="1:10" ht="15" customHeight="1" x14ac:dyDescent="0.25">
      <c r="A40" s="472" t="str">
        <f>IF('Salary Detail'!P50&gt;0,'Salary Detail'!P50," ")</f>
        <v xml:space="preserve"> </v>
      </c>
      <c r="B40" s="475" t="str">
        <f>IF('Salary Detail'!A50&gt;0,'Salary Detail'!A50," ")</f>
        <v xml:space="preserve"> </v>
      </c>
      <c r="C40" s="475" t="str">
        <f>IF('Salary Detail'!B50&gt;0,'Salary Detail'!B50," ")</f>
        <v xml:space="preserve"> </v>
      </c>
      <c r="D40" s="476" t="str">
        <f>IF('Salary Detail'!C50=0,"",'Salary Detail'!C50)</f>
        <v/>
      </c>
      <c r="E40" s="475" t="str">
        <f>IF('Salary Detail'!D50=0,"",'Salary Detail'!D50)</f>
        <v/>
      </c>
      <c r="F40" s="476" t="str">
        <f>'Salary Detail'!I50</f>
        <v/>
      </c>
      <c r="G40" s="440"/>
      <c r="H40" s="443">
        <f t="shared" si="2"/>
        <v>0</v>
      </c>
      <c r="I40" s="442" t="str">
        <f t="shared" si="0"/>
        <v/>
      </c>
      <c r="J40" s="448">
        <f t="shared" si="1"/>
        <v>0</v>
      </c>
    </row>
    <row r="41" spans="1:10" ht="15" customHeight="1" x14ac:dyDescent="0.25">
      <c r="A41" s="472" t="str">
        <f>IF('Salary Detail'!P51&gt;0,'Salary Detail'!P51," ")</f>
        <v xml:space="preserve"> </v>
      </c>
      <c r="B41" s="475" t="str">
        <f>IF('Salary Detail'!A51&gt;0,'Salary Detail'!A51," ")</f>
        <v xml:space="preserve"> </v>
      </c>
      <c r="C41" s="475" t="str">
        <f>IF('Salary Detail'!B51&gt;0,'Salary Detail'!B51," ")</f>
        <v xml:space="preserve"> </v>
      </c>
      <c r="D41" s="476" t="str">
        <f>IF('Salary Detail'!C51=0,"",'Salary Detail'!C51)</f>
        <v/>
      </c>
      <c r="E41" s="475" t="str">
        <f>IF('Salary Detail'!D51=0,"",'Salary Detail'!D51)</f>
        <v/>
      </c>
      <c r="F41" s="476" t="str">
        <f>'Salary Detail'!I51</f>
        <v/>
      </c>
      <c r="G41" s="440"/>
      <c r="H41" s="443">
        <f t="shared" si="2"/>
        <v>0</v>
      </c>
      <c r="I41" s="442" t="str">
        <f t="shared" si="0"/>
        <v/>
      </c>
      <c r="J41" s="448">
        <f t="shared" si="1"/>
        <v>0</v>
      </c>
    </row>
    <row r="42" spans="1:10" ht="15" customHeight="1" x14ac:dyDescent="0.25">
      <c r="A42" s="472" t="str">
        <f>IF('Salary Detail'!P52&gt;0,'Salary Detail'!P52," ")</f>
        <v xml:space="preserve"> </v>
      </c>
      <c r="B42" s="475" t="str">
        <f>IF('Salary Detail'!A52&gt;0,'Salary Detail'!A52," ")</f>
        <v xml:space="preserve"> </v>
      </c>
      <c r="C42" s="475" t="str">
        <f>IF('Salary Detail'!B52&gt;0,'Salary Detail'!B52," ")</f>
        <v xml:space="preserve"> </v>
      </c>
      <c r="D42" s="476" t="str">
        <f>IF('Salary Detail'!C52=0,"",'Salary Detail'!C52)</f>
        <v/>
      </c>
      <c r="E42" s="475" t="str">
        <f>IF('Salary Detail'!D52=0,"",'Salary Detail'!D52)</f>
        <v/>
      </c>
      <c r="F42" s="476" t="str">
        <f>'Salary Detail'!I52</f>
        <v/>
      </c>
      <c r="G42" s="440"/>
      <c r="H42" s="443">
        <f t="shared" si="2"/>
        <v>0</v>
      </c>
      <c r="I42" s="442" t="str">
        <f t="shared" si="0"/>
        <v/>
      </c>
      <c r="J42" s="448">
        <f t="shared" si="1"/>
        <v>0</v>
      </c>
    </row>
    <row r="43" spans="1:10" ht="15" customHeight="1" x14ac:dyDescent="0.25">
      <c r="A43" s="472" t="str">
        <f>IF('Salary Detail'!P53&gt;0,'Salary Detail'!P53," ")</f>
        <v xml:space="preserve"> </v>
      </c>
      <c r="B43" s="475" t="str">
        <f>IF('Salary Detail'!A53&gt;0,'Salary Detail'!A53," ")</f>
        <v xml:space="preserve"> </v>
      </c>
      <c r="C43" s="475" t="str">
        <f>IF('Salary Detail'!B53&gt;0,'Salary Detail'!B53," ")</f>
        <v xml:space="preserve"> </v>
      </c>
      <c r="D43" s="476" t="str">
        <f>IF('Salary Detail'!C53=0,"",'Salary Detail'!C53)</f>
        <v/>
      </c>
      <c r="E43" s="475" t="str">
        <f>IF('Salary Detail'!D53=0,"",'Salary Detail'!D53)</f>
        <v/>
      </c>
      <c r="F43" s="476" t="str">
        <f>'Salary Detail'!I53</f>
        <v/>
      </c>
      <c r="G43" s="440"/>
      <c r="H43" s="443">
        <f t="shared" si="2"/>
        <v>0</v>
      </c>
      <c r="I43" s="442" t="str">
        <f t="shared" si="0"/>
        <v/>
      </c>
      <c r="J43" s="448">
        <f t="shared" si="1"/>
        <v>0</v>
      </c>
    </row>
    <row r="44" spans="1:10" ht="15" customHeight="1" x14ac:dyDescent="0.25">
      <c r="A44" s="472" t="str">
        <f>IF('Salary Detail'!P54&gt;0,'Salary Detail'!P54," ")</f>
        <v xml:space="preserve"> </v>
      </c>
      <c r="B44" s="475" t="str">
        <f>IF('Salary Detail'!A54&gt;0,'Salary Detail'!A54," ")</f>
        <v xml:space="preserve"> </v>
      </c>
      <c r="C44" s="475" t="str">
        <f>IF('Salary Detail'!B54&gt;0,'Salary Detail'!B54," ")</f>
        <v xml:space="preserve"> </v>
      </c>
      <c r="D44" s="476" t="str">
        <f>IF('Salary Detail'!C54=0,"",'Salary Detail'!C54)</f>
        <v/>
      </c>
      <c r="E44" s="475" t="str">
        <f>IF('Salary Detail'!D54=0,"",'Salary Detail'!D54)</f>
        <v/>
      </c>
      <c r="F44" s="476" t="str">
        <f>'Salary Detail'!I54</f>
        <v/>
      </c>
      <c r="G44" s="440"/>
      <c r="H44" s="443">
        <f t="shared" si="2"/>
        <v>0</v>
      </c>
      <c r="I44" s="442" t="str">
        <f t="shared" si="0"/>
        <v/>
      </c>
      <c r="J44" s="448">
        <f t="shared" si="1"/>
        <v>0</v>
      </c>
    </row>
    <row r="45" spans="1:10" ht="15" customHeight="1" x14ac:dyDescent="0.25">
      <c r="A45" s="472" t="str">
        <f>IF('Salary Detail'!P55&gt;0,'Salary Detail'!P55," ")</f>
        <v xml:space="preserve"> </v>
      </c>
      <c r="B45" s="475" t="str">
        <f>IF('Salary Detail'!A55&gt;0,'Salary Detail'!A55," ")</f>
        <v xml:space="preserve"> </v>
      </c>
      <c r="C45" s="475" t="str">
        <f>IF('Salary Detail'!B55&gt;0,'Salary Detail'!B55," ")</f>
        <v xml:space="preserve"> </v>
      </c>
      <c r="D45" s="476" t="str">
        <f>IF('Salary Detail'!C55=0,"",'Salary Detail'!C55)</f>
        <v/>
      </c>
      <c r="E45" s="475" t="str">
        <f>IF('Salary Detail'!D55=0,"",'Salary Detail'!D55)</f>
        <v/>
      </c>
      <c r="F45" s="476" t="str">
        <f>'Salary Detail'!I55</f>
        <v/>
      </c>
      <c r="G45" s="440"/>
      <c r="H45" s="443">
        <f t="shared" si="2"/>
        <v>0</v>
      </c>
      <c r="I45" s="442" t="str">
        <f t="shared" si="0"/>
        <v/>
      </c>
      <c r="J45" s="448">
        <f t="shared" si="1"/>
        <v>0</v>
      </c>
    </row>
    <row r="46" spans="1:10" ht="15" customHeight="1" x14ac:dyDescent="0.25">
      <c r="A46" s="472" t="str">
        <f>IF('Salary Detail'!P56&gt;0,'Salary Detail'!P56," ")</f>
        <v xml:space="preserve"> </v>
      </c>
      <c r="B46" s="475" t="str">
        <f>IF('Salary Detail'!A56&gt;0,'Salary Detail'!A56," ")</f>
        <v xml:space="preserve"> </v>
      </c>
      <c r="C46" s="475" t="str">
        <f>IF('Salary Detail'!B56&gt;0,'Salary Detail'!B56," ")</f>
        <v xml:space="preserve"> </v>
      </c>
      <c r="D46" s="476" t="str">
        <f>IF('Salary Detail'!C56=0,"",'Salary Detail'!C56)</f>
        <v/>
      </c>
      <c r="E46" s="475" t="str">
        <f>IF('Salary Detail'!D56=0,"",'Salary Detail'!D56)</f>
        <v/>
      </c>
      <c r="F46" s="476" t="str">
        <f>'Salary Detail'!I56</f>
        <v/>
      </c>
      <c r="G46" s="440"/>
      <c r="H46" s="443">
        <f t="shared" si="2"/>
        <v>0</v>
      </c>
      <c r="I46" s="442" t="str">
        <f t="shared" si="0"/>
        <v/>
      </c>
      <c r="J46" s="448">
        <f t="shared" si="1"/>
        <v>0</v>
      </c>
    </row>
    <row r="47" spans="1:10" ht="15" customHeight="1" x14ac:dyDescent="0.25">
      <c r="A47" s="472" t="str">
        <f>IF('Salary Detail'!P57&gt;0,'Salary Detail'!P57," ")</f>
        <v xml:space="preserve"> </v>
      </c>
      <c r="B47" s="475" t="str">
        <f>IF('Salary Detail'!A57&gt;0,'Salary Detail'!A57," ")</f>
        <v xml:space="preserve"> </v>
      </c>
      <c r="C47" s="475" t="str">
        <f>IF('Salary Detail'!B57&gt;0,'Salary Detail'!B57," ")</f>
        <v xml:space="preserve"> </v>
      </c>
      <c r="D47" s="476" t="str">
        <f>IF('Salary Detail'!C57=0,"",'Salary Detail'!C57)</f>
        <v/>
      </c>
      <c r="E47" s="475" t="str">
        <f>IF('Salary Detail'!D57=0,"",'Salary Detail'!D57)</f>
        <v/>
      </c>
      <c r="F47" s="476" t="str">
        <f>'Salary Detail'!I57</f>
        <v/>
      </c>
      <c r="G47" s="440"/>
      <c r="H47" s="443">
        <f t="shared" si="2"/>
        <v>0</v>
      </c>
      <c r="I47" s="442" t="str">
        <f t="shared" si="0"/>
        <v/>
      </c>
      <c r="J47" s="448">
        <f t="shared" si="1"/>
        <v>0</v>
      </c>
    </row>
    <row r="48" spans="1:10" ht="15" customHeight="1" x14ac:dyDescent="0.25">
      <c r="A48" s="472" t="str">
        <f>IF('Salary Detail'!P58&gt;0,'Salary Detail'!P58," ")</f>
        <v xml:space="preserve"> </v>
      </c>
      <c r="B48" s="475" t="str">
        <f>IF('Salary Detail'!A58&gt;0,'Salary Detail'!A58," ")</f>
        <v xml:space="preserve"> </v>
      </c>
      <c r="C48" s="475" t="str">
        <f>IF('Salary Detail'!B58&gt;0,'Salary Detail'!B58," ")</f>
        <v xml:space="preserve"> </v>
      </c>
      <c r="D48" s="476" t="str">
        <f>IF('Salary Detail'!C58=0,"",'Salary Detail'!C58)</f>
        <v/>
      </c>
      <c r="E48" s="475" t="str">
        <f>IF('Salary Detail'!D58=0,"",'Salary Detail'!D58)</f>
        <v/>
      </c>
      <c r="F48" s="476" t="str">
        <f>'Salary Detail'!I58</f>
        <v/>
      </c>
      <c r="G48" s="440"/>
      <c r="H48" s="443">
        <f t="shared" si="2"/>
        <v>0</v>
      </c>
      <c r="I48" s="442" t="str">
        <f t="shared" si="0"/>
        <v/>
      </c>
      <c r="J48" s="448">
        <f t="shared" si="1"/>
        <v>0</v>
      </c>
    </row>
    <row r="49" spans="1:10" ht="15" customHeight="1" x14ac:dyDescent="0.25">
      <c r="A49" s="472" t="str">
        <f>IF('Salary Detail'!P59&gt;0,'Salary Detail'!P59," ")</f>
        <v xml:space="preserve"> </v>
      </c>
      <c r="B49" s="475" t="str">
        <f>IF('Salary Detail'!A59&gt;0,'Salary Detail'!A59," ")</f>
        <v xml:space="preserve"> </v>
      </c>
      <c r="C49" s="475" t="str">
        <f>IF('Salary Detail'!B59&gt;0,'Salary Detail'!B59," ")</f>
        <v xml:space="preserve"> </v>
      </c>
      <c r="D49" s="476" t="str">
        <f>IF('Salary Detail'!C59=0,"",'Salary Detail'!C59)</f>
        <v/>
      </c>
      <c r="E49" s="475" t="str">
        <f>IF('Salary Detail'!D59=0,"",'Salary Detail'!D59)</f>
        <v/>
      </c>
      <c r="F49" s="476" t="str">
        <f>'Salary Detail'!I59</f>
        <v/>
      </c>
      <c r="G49" s="440"/>
      <c r="H49" s="443">
        <f t="shared" si="2"/>
        <v>0</v>
      </c>
      <c r="I49" s="442" t="str">
        <f t="shared" si="0"/>
        <v/>
      </c>
      <c r="J49" s="448">
        <f t="shared" si="1"/>
        <v>0</v>
      </c>
    </row>
    <row r="50" spans="1:10" ht="15" customHeight="1" x14ac:dyDescent="0.25">
      <c r="A50" s="472" t="str">
        <f>IF('Salary Detail'!P60&gt;0,'Salary Detail'!P60," ")</f>
        <v xml:space="preserve"> </v>
      </c>
      <c r="B50" s="475" t="str">
        <f>IF('Salary Detail'!A60&gt;0,'Salary Detail'!A60," ")</f>
        <v xml:space="preserve"> </v>
      </c>
      <c r="C50" s="475" t="str">
        <f>IF('Salary Detail'!B60&gt;0,'Salary Detail'!B60," ")</f>
        <v xml:space="preserve"> </v>
      </c>
      <c r="D50" s="476" t="str">
        <f>IF('Salary Detail'!C60=0,"",'Salary Detail'!C60)</f>
        <v/>
      </c>
      <c r="E50" s="475" t="str">
        <f>IF('Salary Detail'!D60=0,"",'Salary Detail'!D60)</f>
        <v/>
      </c>
      <c r="F50" s="476" t="str">
        <f>'Salary Detail'!I60</f>
        <v/>
      </c>
      <c r="G50" s="440"/>
      <c r="H50" s="443">
        <f t="shared" si="2"/>
        <v>0</v>
      </c>
      <c r="I50" s="442" t="str">
        <f t="shared" si="0"/>
        <v/>
      </c>
      <c r="J50" s="448">
        <f t="shared" si="1"/>
        <v>0</v>
      </c>
    </row>
    <row r="51" spans="1:10" ht="15" customHeight="1" x14ac:dyDescent="0.25">
      <c r="A51" s="472" t="str">
        <f>IF('Salary Detail'!P61&gt;0,'Salary Detail'!P61," ")</f>
        <v xml:space="preserve"> </v>
      </c>
      <c r="B51" s="475" t="str">
        <f>IF('Salary Detail'!A61&gt;0,'Salary Detail'!A61," ")</f>
        <v xml:space="preserve"> </v>
      </c>
      <c r="C51" s="475" t="str">
        <f>IF('Salary Detail'!B61&gt;0,'Salary Detail'!B61," ")</f>
        <v xml:space="preserve"> </v>
      </c>
      <c r="D51" s="476" t="str">
        <f>IF('Salary Detail'!C61=0,"",'Salary Detail'!C61)</f>
        <v/>
      </c>
      <c r="E51" s="475" t="str">
        <f>IF('Salary Detail'!D61=0,"",'Salary Detail'!D61)</f>
        <v/>
      </c>
      <c r="F51" s="476" t="str">
        <f>'Salary Detail'!I61</f>
        <v/>
      </c>
      <c r="G51" s="440"/>
      <c r="H51" s="443">
        <f t="shared" si="2"/>
        <v>0</v>
      </c>
      <c r="I51" s="442" t="str">
        <f t="shared" si="0"/>
        <v/>
      </c>
      <c r="J51" s="448">
        <f t="shared" si="1"/>
        <v>0</v>
      </c>
    </row>
    <row r="52" spans="1:10" ht="15" customHeight="1" x14ac:dyDescent="0.25">
      <c r="A52" s="472" t="str">
        <f>IF('Salary Detail'!P62&gt;0,'Salary Detail'!P62," ")</f>
        <v xml:space="preserve"> </v>
      </c>
      <c r="B52" s="475" t="str">
        <f>IF('Salary Detail'!A62&gt;0,'Salary Detail'!A62," ")</f>
        <v xml:space="preserve"> </v>
      </c>
      <c r="C52" s="475" t="str">
        <f>IF('Salary Detail'!B62&gt;0,'Salary Detail'!B62," ")</f>
        <v xml:space="preserve"> </v>
      </c>
      <c r="D52" s="476" t="str">
        <f>IF('Salary Detail'!C62=0,"",'Salary Detail'!C62)</f>
        <v/>
      </c>
      <c r="E52" s="475" t="str">
        <f>IF('Salary Detail'!D62=0,"",'Salary Detail'!D62)</f>
        <v/>
      </c>
      <c r="F52" s="476" t="str">
        <f>'Salary Detail'!I62</f>
        <v/>
      </c>
      <c r="G52" s="440"/>
      <c r="H52" s="443">
        <f t="shared" si="2"/>
        <v>0</v>
      </c>
      <c r="I52" s="442" t="str">
        <f t="shared" si="0"/>
        <v/>
      </c>
      <c r="J52" s="448">
        <f t="shared" si="1"/>
        <v>0</v>
      </c>
    </row>
    <row r="53" spans="1:10" ht="15" customHeight="1" x14ac:dyDescent="0.25">
      <c r="A53" s="472" t="str">
        <f>IF('Salary Detail'!P63&gt;0,'Salary Detail'!P63," ")</f>
        <v xml:space="preserve"> </v>
      </c>
      <c r="B53" s="478" t="str">
        <f>IF('Salary Detail'!A63&gt;0,'Salary Detail'!A63," ")</f>
        <v xml:space="preserve"> </v>
      </c>
      <c r="C53" s="479" t="str">
        <f>IF('Salary Detail'!B63&gt;0,'Salary Detail'!B63," ")</f>
        <v xml:space="preserve"> </v>
      </c>
      <c r="D53" s="480" t="str">
        <f>IF('Salary Detail'!C63=0,"",'Salary Detail'!C63)</f>
        <v/>
      </c>
      <c r="E53" s="479" t="str">
        <f>IF('Salary Detail'!D63=0,"",'Salary Detail'!D63)</f>
        <v/>
      </c>
      <c r="F53" s="480" t="str">
        <f>'Salary Detail'!I63</f>
        <v/>
      </c>
      <c r="G53" s="441"/>
      <c r="H53" s="443">
        <f t="shared" si="2"/>
        <v>0</v>
      </c>
      <c r="I53" s="641" t="str">
        <f t="shared" si="0"/>
        <v/>
      </c>
      <c r="J53" s="448">
        <f t="shared" si="1"/>
        <v>0</v>
      </c>
    </row>
    <row r="54" spans="1:10" ht="15" customHeight="1" x14ac:dyDescent="0.3">
      <c r="B54" s="966" t="s">
        <v>318</v>
      </c>
      <c r="C54" s="966"/>
      <c r="D54" s="966"/>
      <c r="E54" s="966"/>
      <c r="F54" s="966"/>
      <c r="G54" s="966"/>
      <c r="H54" s="452"/>
      <c r="I54" s="453">
        <f>SUM(I14:I53)</f>
        <v>0</v>
      </c>
    </row>
    <row r="55" spans="1:10" ht="15" customHeight="1" x14ac:dyDescent="0.25">
      <c r="B55" s="353" t="str">
        <f>IF('Salary Detail'!A65&gt;0,'Salary Detail'!A65," ")</f>
        <v xml:space="preserve"> </v>
      </c>
    </row>
    <row r="56" spans="1:10" ht="15" customHeight="1" x14ac:dyDescent="0.25">
      <c r="B56" s="353" t="str">
        <f>IF('Salary Detail'!A66&gt;0,'Salary Detail'!A66," ")</f>
        <v xml:space="preserve"> </v>
      </c>
    </row>
    <row r="57" spans="1:10" ht="15" customHeight="1" x14ac:dyDescent="0.25">
      <c r="B57" s="353" t="str">
        <f>IF('Salary Detail'!A67&gt;0,'Salary Detail'!A67," ")</f>
        <v xml:space="preserve"> </v>
      </c>
    </row>
    <row r="58" spans="1:10" ht="15" customHeight="1" x14ac:dyDescent="0.25">
      <c r="B58" s="353"/>
    </row>
    <row r="59" spans="1:10" ht="15" customHeight="1" x14ac:dyDescent="0.25">
      <c r="B59" s="353"/>
    </row>
    <row r="60" spans="1:10" ht="15" customHeight="1" x14ac:dyDescent="0.25">
      <c r="B60" s="353" t="str">
        <f>IF('Salary Detail'!A70&gt;0,'Salary Detail'!A70," ")</f>
        <v xml:space="preserve"> </v>
      </c>
    </row>
    <row r="61" spans="1:10" ht="15" customHeight="1" x14ac:dyDescent="0.25">
      <c r="B61" s="353" t="str">
        <f>IF('Salary Detail'!A71&gt;0,'Salary Detail'!A71," ")</f>
        <v xml:space="preserve"> </v>
      </c>
    </row>
    <row r="62" spans="1:10" ht="15" customHeight="1" x14ac:dyDescent="0.25">
      <c r="B62" s="353" t="str">
        <f>IF('Salary Detail'!A72&gt;0,'Salary Detail'!A72," ")</f>
        <v xml:space="preserve"> </v>
      </c>
    </row>
    <row r="63" spans="1:10" ht="15" customHeight="1" x14ac:dyDescent="0.25">
      <c r="B63" s="353" t="str">
        <f>IF('Salary Detail'!A73&gt;0,'Salary Detail'!A73," ")</f>
        <v xml:space="preserve"> </v>
      </c>
    </row>
    <row r="64" spans="1:10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</sheetData>
  <sheetProtection algorithmName="SHA-512" hashValue="MLxR2kwTE2Y9nBF7V8hbuZppQIfKE+wX/scdpGryYzXC+OhroJT7yZaKsbNOgmuM7DeLifP/W9ZLCNl6S9brBw==" saltValue="enBVdqk0Ltj7wdNePYZHVg==" spinCount="100000" sheet="1" objects="1" scenarios="1"/>
  <mergeCells count="1">
    <mergeCell ref="B54:G54"/>
  </mergeCells>
  <phoneticPr fontId="19" type="noConversion"/>
  <pageMargins left="0.7" right="0.7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M348"/>
  <sheetViews>
    <sheetView showOutlineSymbols="0" zoomScale="90" zoomScaleNormal="90" zoomScaleSheetLayoutView="90" workbookViewId="0">
      <selection activeCell="L20" sqref="L20"/>
    </sheetView>
  </sheetViews>
  <sheetFormatPr defaultColWidth="8.7265625" defaultRowHeight="12.5" x14ac:dyDescent="0.25"/>
  <cols>
    <col min="1" max="1" width="24.26953125" style="4" customWidth="1"/>
    <col min="2" max="11" width="12.7265625" style="4" customWidth="1"/>
    <col min="12" max="12" width="14.7265625" style="4" customWidth="1"/>
    <col min="13" max="13" width="16.26953125" style="4" customWidth="1"/>
    <col min="14" max="16384" width="8.7265625" style="4"/>
  </cols>
  <sheetData>
    <row r="1" spans="1:13" x14ac:dyDescent="0.25">
      <c r="A1" s="968" t="s">
        <v>232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</row>
    <row r="2" spans="1:13" x14ac:dyDescent="0.25">
      <c r="A2" s="969"/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969"/>
    </row>
    <row r="3" spans="1:13" ht="13" customHeight="1" x14ac:dyDescent="0.3">
      <c r="A3" s="377" t="str">
        <f>'Salary Detail'!A1</f>
        <v>UNM HEALTH SCIENCES CENTER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3" customHeight="1" x14ac:dyDescent="0.3">
      <c r="A4" s="2" t="s">
        <v>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3" customHeight="1" x14ac:dyDescent="0.3">
      <c r="A5" s="231" t="str">
        <f>'Salary Detail'!A3</f>
        <v>Revised 3/14/2023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3" customHeight="1" x14ac:dyDescent="0.25">
      <c r="E6" s="77" t="s">
        <v>138</v>
      </c>
      <c r="F6" s="967" t="str">
        <f>IF('Salary Detail'!E5=0,"",'Salary Detail'!E5)</f>
        <v/>
      </c>
      <c r="G6" s="943"/>
      <c r="H6" s="943"/>
      <c r="I6" s="943"/>
      <c r="J6" s="159"/>
      <c r="K6" s="159"/>
      <c r="L6" s="159"/>
    </row>
    <row r="7" spans="1:13" ht="13" customHeight="1" x14ac:dyDescent="0.25">
      <c r="E7" s="77" t="s">
        <v>8</v>
      </c>
      <c r="F7" s="967" t="str">
        <f>IF('Salary Detail'!E6=0,"",'Salary Detail'!E6)</f>
        <v/>
      </c>
      <c r="G7" s="943"/>
      <c r="H7" s="943"/>
      <c r="I7" s="943"/>
      <c r="J7" s="159"/>
      <c r="K7" s="159"/>
      <c r="L7" s="159"/>
      <c r="M7" s="78"/>
    </row>
    <row r="8" spans="1:13" ht="13" customHeight="1" x14ac:dyDescent="0.25">
      <c r="E8" s="77" t="s">
        <v>122</v>
      </c>
      <c r="F8" s="967" t="str">
        <f>IF('Salary Detail'!E7=0,"",'Salary Detail'!E7)</f>
        <v/>
      </c>
      <c r="G8" s="943"/>
      <c r="H8" s="943"/>
      <c r="I8" s="943"/>
      <c r="J8" s="147"/>
      <c r="K8" s="147"/>
      <c r="L8" s="147"/>
      <c r="M8" s="78"/>
    </row>
    <row r="9" spans="1:13" ht="13" customHeight="1" x14ac:dyDescent="0.25">
      <c r="E9" s="77" t="s">
        <v>10</v>
      </c>
      <c r="F9" s="967" t="str">
        <f>IF('Salary Detail'!E8=0,"",'Salary Detail'!E8)</f>
        <v/>
      </c>
      <c r="G9" s="943"/>
      <c r="H9" s="943"/>
      <c r="I9" s="943"/>
      <c r="J9" s="147"/>
      <c r="K9" s="147"/>
      <c r="L9" s="147"/>
    </row>
    <row r="10" spans="1:13" ht="13" customHeight="1" x14ac:dyDescent="0.25">
      <c r="A10" s="77"/>
      <c r="B10" s="62"/>
      <c r="C10" s="62"/>
      <c r="D10" s="62"/>
      <c r="G10" s="77"/>
      <c r="H10" s="7"/>
    </row>
    <row r="11" spans="1:13" ht="13" customHeight="1" x14ac:dyDescent="0.3">
      <c r="A11" s="2" t="s">
        <v>66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3" customHeight="1" x14ac:dyDescent="0.25">
      <c r="A12" s="50" t="s">
        <v>225</v>
      </c>
      <c r="B12" s="50" t="s">
        <v>67</v>
      </c>
      <c r="C12" s="56" t="s">
        <v>274</v>
      </c>
      <c r="D12" s="56" t="s">
        <v>275</v>
      </c>
      <c r="E12" s="56" t="s">
        <v>273</v>
      </c>
      <c r="F12" s="50" t="s">
        <v>69</v>
      </c>
      <c r="G12" s="56" t="s">
        <v>116</v>
      </c>
      <c r="H12" s="70" t="s">
        <v>135</v>
      </c>
      <c r="I12" s="6" t="s">
        <v>70</v>
      </c>
      <c r="J12" s="50" t="s">
        <v>71</v>
      </c>
      <c r="K12" s="56" t="s">
        <v>253</v>
      </c>
      <c r="L12" s="56" t="s">
        <v>23</v>
      </c>
      <c r="M12" s="50" t="s">
        <v>46</v>
      </c>
    </row>
    <row r="13" spans="1:13" ht="13" customHeight="1" x14ac:dyDescent="0.25">
      <c r="A13" s="156" t="str">
        <f>IF('Salary Detail'!A24=0,"",'Salary Detail'!A24)</f>
        <v/>
      </c>
      <c r="B13" s="53" t="str">
        <f>IF('Salary Detail'!P24="f",'Salary Detail'!K24,"")</f>
        <v/>
      </c>
      <c r="C13" s="53" t="str">
        <f>IF('Salary Detail'!P24="o",'Salary Detail'!K24,"")</f>
        <v/>
      </c>
      <c r="D13" s="53" t="str">
        <f>IF('Salary Detail'!P24="l",'Salary Detail'!K24,"")</f>
        <v/>
      </c>
      <c r="E13" s="52" t="str">
        <f>IF('Salary Detail'!P24="a",'Salary Detail'!K24,"")</f>
        <v/>
      </c>
      <c r="F13" s="52" t="str">
        <f>IF('Salary Detail'!P24="t",'Salary Detail'!K24,"")</f>
        <v/>
      </c>
      <c r="G13" s="52" t="str">
        <f>IF('Salary Detail'!P24="p",'Salary Detail'!K24,"")</f>
        <v/>
      </c>
      <c r="H13" s="52" t="str">
        <f>IF('Salary Detail'!P24="r",'Salary Detail'!K24,"")</f>
        <v/>
      </c>
      <c r="I13" s="52" t="str">
        <f>IF('Salary Detail'!P24="s",'Salary Detail'!K24,"")</f>
        <v/>
      </c>
      <c r="J13" s="52" t="str">
        <f>IF('Salary Detail'!P24="w",'Salary Detail'!K24,"")</f>
        <v/>
      </c>
      <c r="K13" s="52" t="str">
        <f>IF('Salary Detail'!P24="G",'Salary Detail'!K24,"")</f>
        <v/>
      </c>
      <c r="L13" s="52" t="str">
        <f>'Salary Detail'!M24</f>
        <v/>
      </c>
      <c r="M13" s="52" t="str">
        <f t="shared" ref="M13:M52" si="0">IF(SUM(B13:L13)=0,"",SUM(B13:L13))</f>
        <v/>
      </c>
    </row>
    <row r="14" spans="1:13" ht="13" customHeight="1" x14ac:dyDescent="0.25">
      <c r="A14" s="157" t="str">
        <f>IF('Salary Detail'!A25=0,"",'Salary Detail'!A25)</f>
        <v/>
      </c>
      <c r="B14" s="53" t="str">
        <f>IF('Salary Detail'!P25="f",'Salary Detail'!K25,"")</f>
        <v/>
      </c>
      <c r="C14" s="53" t="str">
        <f>IF('Salary Detail'!P25="o",'Salary Detail'!K25,"")</f>
        <v/>
      </c>
      <c r="D14" s="53" t="str">
        <f>IF('Salary Detail'!P25="l",'Salary Detail'!K25,"")</f>
        <v/>
      </c>
      <c r="E14" s="53" t="str">
        <f>IF('Salary Detail'!P25="a",'Salary Detail'!K25,"")</f>
        <v/>
      </c>
      <c r="F14" s="53" t="str">
        <f>IF('Salary Detail'!P25="t",'Salary Detail'!K25,"")</f>
        <v/>
      </c>
      <c r="G14" s="53" t="str">
        <f>IF('Salary Detail'!P25="p",'Salary Detail'!K25,"")</f>
        <v/>
      </c>
      <c r="H14" s="53" t="str">
        <f>IF('Salary Detail'!P25="r",'Salary Detail'!K25,"")</f>
        <v/>
      </c>
      <c r="I14" s="53" t="str">
        <f>IF('Salary Detail'!P25="s",'Salary Detail'!K25,"")</f>
        <v/>
      </c>
      <c r="J14" s="53" t="str">
        <f>IF('Salary Detail'!P25="w",'Salary Detail'!K25,"")</f>
        <v/>
      </c>
      <c r="K14" s="53" t="str">
        <f>IF('Salary Detail'!P25="G",'Salary Detail'!K25,"")</f>
        <v/>
      </c>
      <c r="L14" s="53" t="str">
        <f>'Salary Detail'!M25</f>
        <v/>
      </c>
      <c r="M14" s="53" t="str">
        <f t="shared" si="0"/>
        <v/>
      </c>
    </row>
    <row r="15" spans="1:13" ht="13" customHeight="1" x14ac:dyDescent="0.25">
      <c r="A15" s="157" t="str">
        <f>IF('Salary Detail'!A26=0,"",'Salary Detail'!A26)</f>
        <v/>
      </c>
      <c r="B15" s="53" t="str">
        <f>IF('Salary Detail'!P26="f",'Salary Detail'!K26,"")</f>
        <v/>
      </c>
      <c r="C15" s="53" t="str">
        <f>IF('Salary Detail'!P26="o",'Salary Detail'!K26,"")</f>
        <v/>
      </c>
      <c r="D15" s="53" t="str">
        <f>IF('Salary Detail'!P26="l",'Salary Detail'!K26,"")</f>
        <v/>
      </c>
      <c r="E15" s="53" t="str">
        <f>IF('Salary Detail'!P26="a",'Salary Detail'!K26,"")</f>
        <v/>
      </c>
      <c r="F15" s="53" t="str">
        <f>IF('Salary Detail'!P26="t",'Salary Detail'!K26,"")</f>
        <v/>
      </c>
      <c r="G15" s="53" t="str">
        <f>IF('Salary Detail'!P26="p",'Salary Detail'!K26,"")</f>
        <v/>
      </c>
      <c r="H15" s="53" t="str">
        <f>IF('Salary Detail'!P26="r",'Salary Detail'!K26,"")</f>
        <v/>
      </c>
      <c r="I15" s="53" t="str">
        <f>IF('Salary Detail'!P26="s",'Salary Detail'!K26,"")</f>
        <v/>
      </c>
      <c r="J15" s="53" t="str">
        <f>IF('Salary Detail'!P26="w",'Salary Detail'!K26,"")</f>
        <v/>
      </c>
      <c r="K15" s="53" t="str">
        <f>IF('Salary Detail'!P26="G",'Salary Detail'!K26,"")</f>
        <v/>
      </c>
      <c r="L15" s="53" t="str">
        <f>'Salary Detail'!M26</f>
        <v/>
      </c>
      <c r="M15" s="53" t="str">
        <f t="shared" si="0"/>
        <v/>
      </c>
    </row>
    <row r="16" spans="1:13" ht="13" customHeight="1" x14ac:dyDescent="0.25">
      <c r="A16" s="157" t="str">
        <f>IF('Salary Detail'!A27=0,"",'Salary Detail'!A27)</f>
        <v/>
      </c>
      <c r="B16" s="53" t="str">
        <f>IF('Salary Detail'!P27="f",'Salary Detail'!K27,"")</f>
        <v/>
      </c>
      <c r="C16" s="53" t="str">
        <f>IF('Salary Detail'!P27="o",'Salary Detail'!K27,"")</f>
        <v/>
      </c>
      <c r="D16" s="53" t="str">
        <f>IF('Salary Detail'!P27="l",'Salary Detail'!K27,"")</f>
        <v/>
      </c>
      <c r="E16" s="53" t="str">
        <f>IF('Salary Detail'!P27="a",'Salary Detail'!K27,"")</f>
        <v/>
      </c>
      <c r="F16" s="53" t="str">
        <f>IF('Salary Detail'!P27="t",'Salary Detail'!K27,"")</f>
        <v/>
      </c>
      <c r="G16" s="53" t="str">
        <f>IF('Salary Detail'!P27="p",'Salary Detail'!K27,"")</f>
        <v/>
      </c>
      <c r="H16" s="53" t="str">
        <f>IF('Salary Detail'!P27="r",'Salary Detail'!K27,"")</f>
        <v/>
      </c>
      <c r="I16" s="53" t="str">
        <f>IF('Salary Detail'!P27="s",'Salary Detail'!K27,"")</f>
        <v/>
      </c>
      <c r="J16" s="53" t="str">
        <f>IF('Salary Detail'!P27="w",'Salary Detail'!K27,"")</f>
        <v/>
      </c>
      <c r="K16" s="53" t="str">
        <f>IF('Salary Detail'!P27="G",'Salary Detail'!K27,"")</f>
        <v/>
      </c>
      <c r="L16" s="53" t="str">
        <f>'Salary Detail'!M27</f>
        <v/>
      </c>
      <c r="M16" s="53" t="str">
        <f t="shared" si="0"/>
        <v/>
      </c>
    </row>
    <row r="17" spans="1:13" ht="13" customHeight="1" x14ac:dyDescent="0.25">
      <c r="A17" s="157" t="str">
        <f>IF('Salary Detail'!A28=0,"",'Salary Detail'!A28)</f>
        <v/>
      </c>
      <c r="B17" s="53" t="str">
        <f>IF('Salary Detail'!P28="f",'Salary Detail'!K28,"")</f>
        <v/>
      </c>
      <c r="C17" s="53" t="str">
        <f>IF('Salary Detail'!P28="o",'Salary Detail'!K28,"")</f>
        <v/>
      </c>
      <c r="D17" s="53" t="str">
        <f>IF('Salary Detail'!P28="l",'Salary Detail'!K28,"")</f>
        <v/>
      </c>
      <c r="E17" s="53" t="str">
        <f>IF('Salary Detail'!P28="a",'Salary Detail'!K28,"")</f>
        <v/>
      </c>
      <c r="F17" s="53" t="str">
        <f>IF('Salary Detail'!P28="t",'Salary Detail'!K28,"")</f>
        <v/>
      </c>
      <c r="G17" s="53" t="str">
        <f>IF('Salary Detail'!P28="p",'Salary Detail'!K28,"")</f>
        <v/>
      </c>
      <c r="H17" s="53" t="str">
        <f>IF('Salary Detail'!P28="r",'Salary Detail'!K28,"")</f>
        <v/>
      </c>
      <c r="I17" s="53" t="str">
        <f>IF('Salary Detail'!P28="s",'Salary Detail'!K28,"")</f>
        <v/>
      </c>
      <c r="J17" s="53" t="str">
        <f>IF('Salary Detail'!P28="w",'Salary Detail'!K28,"")</f>
        <v/>
      </c>
      <c r="K17" s="53" t="str">
        <f>IF('Salary Detail'!P28="G",'Salary Detail'!K28,"")</f>
        <v/>
      </c>
      <c r="L17" s="53" t="str">
        <f>'Salary Detail'!M28</f>
        <v/>
      </c>
      <c r="M17" s="53" t="str">
        <f t="shared" si="0"/>
        <v/>
      </c>
    </row>
    <row r="18" spans="1:13" ht="13" customHeight="1" x14ac:dyDescent="0.25">
      <c r="A18" s="157" t="str">
        <f>IF('Salary Detail'!A29=0,"",'Salary Detail'!A29)</f>
        <v/>
      </c>
      <c r="B18" s="53" t="str">
        <f>IF('Salary Detail'!P29="f",'Salary Detail'!K29,"")</f>
        <v/>
      </c>
      <c r="C18" s="53" t="str">
        <f>IF('Salary Detail'!P29="o",'Salary Detail'!K29,"")</f>
        <v/>
      </c>
      <c r="D18" s="53" t="str">
        <f>IF('Salary Detail'!P29="l",'Salary Detail'!K29,"")</f>
        <v/>
      </c>
      <c r="E18" s="53" t="str">
        <f>IF('Salary Detail'!P29="a",'Salary Detail'!K29,"")</f>
        <v/>
      </c>
      <c r="F18" s="53" t="str">
        <f>IF('Salary Detail'!P29="t",'Salary Detail'!K29,"")</f>
        <v/>
      </c>
      <c r="G18" s="53" t="str">
        <f>IF('Salary Detail'!P29="p",'Salary Detail'!K29,"")</f>
        <v/>
      </c>
      <c r="H18" s="53" t="str">
        <f>IF('Salary Detail'!P29="r",'Salary Detail'!K29,"")</f>
        <v/>
      </c>
      <c r="I18" s="53" t="str">
        <f>IF('Salary Detail'!P29="s",'Salary Detail'!K29,"")</f>
        <v/>
      </c>
      <c r="J18" s="53" t="str">
        <f>IF('Salary Detail'!P29="w",'Salary Detail'!K29,"")</f>
        <v/>
      </c>
      <c r="K18" s="53" t="str">
        <f>IF('Salary Detail'!P29="G",'Salary Detail'!K29,"")</f>
        <v/>
      </c>
      <c r="L18" s="53" t="str">
        <f>'Salary Detail'!M29</f>
        <v/>
      </c>
      <c r="M18" s="53" t="str">
        <f t="shared" si="0"/>
        <v/>
      </c>
    </row>
    <row r="19" spans="1:13" ht="13" customHeight="1" x14ac:dyDescent="0.25">
      <c r="A19" s="157" t="str">
        <f>IF('Salary Detail'!A30=0,"",'Salary Detail'!A30)</f>
        <v/>
      </c>
      <c r="B19" s="53" t="str">
        <f>IF('Salary Detail'!P30="f",'Salary Detail'!K30,"")</f>
        <v/>
      </c>
      <c r="C19" s="53" t="str">
        <f>IF('Salary Detail'!P30="o",'Salary Detail'!K30,"")</f>
        <v/>
      </c>
      <c r="D19" s="53" t="str">
        <f>IF('Salary Detail'!P30="l",'Salary Detail'!K30,"")</f>
        <v/>
      </c>
      <c r="E19" s="53" t="str">
        <f>IF('Salary Detail'!P30="a",'Salary Detail'!K30,"")</f>
        <v/>
      </c>
      <c r="F19" s="53" t="str">
        <f>IF('Salary Detail'!P30="t",'Salary Detail'!K30,"")</f>
        <v/>
      </c>
      <c r="G19" s="53" t="str">
        <f>IF('Salary Detail'!P30="p",'Salary Detail'!K30,"")</f>
        <v/>
      </c>
      <c r="H19" s="53" t="str">
        <f>IF('Salary Detail'!P30="r",'Salary Detail'!K30,"")</f>
        <v/>
      </c>
      <c r="I19" s="53" t="str">
        <f>IF('Salary Detail'!P30="s",'Salary Detail'!K30,"")</f>
        <v/>
      </c>
      <c r="J19" s="53" t="str">
        <f>IF('Salary Detail'!P30="w",'Salary Detail'!K30,"")</f>
        <v/>
      </c>
      <c r="K19" s="53" t="str">
        <f>IF('Salary Detail'!P30="G",'Salary Detail'!K30,"")</f>
        <v/>
      </c>
      <c r="L19" s="53" t="str">
        <f>'Salary Detail'!M30</f>
        <v/>
      </c>
      <c r="M19" s="53" t="str">
        <f t="shared" si="0"/>
        <v/>
      </c>
    </row>
    <row r="20" spans="1:13" ht="13" customHeight="1" x14ac:dyDescent="0.25">
      <c r="A20" s="157" t="str">
        <f>IF('Salary Detail'!A31=0,"",'Salary Detail'!A31)</f>
        <v/>
      </c>
      <c r="B20" s="53" t="str">
        <f>IF('Salary Detail'!P31="f",'Salary Detail'!K31,"")</f>
        <v/>
      </c>
      <c r="C20" s="53" t="str">
        <f>IF('Salary Detail'!P31="o",'Salary Detail'!K31,"")</f>
        <v/>
      </c>
      <c r="D20" s="53" t="str">
        <f>IF('Salary Detail'!P31="l",'Salary Detail'!K31,"")</f>
        <v/>
      </c>
      <c r="E20" s="53" t="str">
        <f>IF('Salary Detail'!P31="a",'Salary Detail'!K31,"")</f>
        <v/>
      </c>
      <c r="F20" s="53" t="str">
        <f>IF('Salary Detail'!P31="t",'Salary Detail'!K31,"")</f>
        <v/>
      </c>
      <c r="G20" s="53" t="str">
        <f>IF('Salary Detail'!P31="p",'Salary Detail'!K31,"")</f>
        <v/>
      </c>
      <c r="H20" s="53" t="str">
        <f>IF('Salary Detail'!P31="r",'Salary Detail'!K31,"")</f>
        <v/>
      </c>
      <c r="I20" s="53" t="str">
        <f>IF('Salary Detail'!P31="s",'Salary Detail'!K31,"")</f>
        <v/>
      </c>
      <c r="J20" s="53" t="str">
        <f>IF('Salary Detail'!P31="w",'Salary Detail'!K31,"")</f>
        <v/>
      </c>
      <c r="K20" s="53" t="str">
        <f>IF('Salary Detail'!P31="G",'Salary Detail'!K31,"")</f>
        <v/>
      </c>
      <c r="L20" s="53" t="str">
        <f>'Salary Detail'!M31</f>
        <v/>
      </c>
      <c r="M20" s="53" t="str">
        <f t="shared" si="0"/>
        <v/>
      </c>
    </row>
    <row r="21" spans="1:13" ht="13" customHeight="1" x14ac:dyDescent="0.25">
      <c r="A21" s="157" t="str">
        <f>IF('Salary Detail'!A32=0,"",'Salary Detail'!A32)</f>
        <v/>
      </c>
      <c r="B21" s="53" t="str">
        <f>IF('Salary Detail'!P32="f",'Salary Detail'!K32,"")</f>
        <v/>
      </c>
      <c r="C21" s="53" t="str">
        <f>IF('Salary Detail'!P32="o",'Salary Detail'!K32,"")</f>
        <v/>
      </c>
      <c r="D21" s="53" t="str">
        <f>IF('Salary Detail'!P32="l",'Salary Detail'!K32,"")</f>
        <v/>
      </c>
      <c r="E21" s="53" t="str">
        <f>IF('Salary Detail'!P32="a",'Salary Detail'!K32,"")</f>
        <v/>
      </c>
      <c r="F21" s="53" t="str">
        <f>IF('Salary Detail'!P32="t",'Salary Detail'!K32,"")</f>
        <v/>
      </c>
      <c r="G21" s="53" t="str">
        <f>IF('Salary Detail'!P32="p",'Salary Detail'!K32,"")</f>
        <v/>
      </c>
      <c r="H21" s="53" t="str">
        <f>IF('Salary Detail'!P32="r",'Salary Detail'!K32,"")</f>
        <v/>
      </c>
      <c r="I21" s="53" t="str">
        <f>IF('Salary Detail'!P32="s",'Salary Detail'!K32,"")</f>
        <v/>
      </c>
      <c r="J21" s="53" t="str">
        <f>IF('Salary Detail'!P32="w",'Salary Detail'!K32,"")</f>
        <v/>
      </c>
      <c r="K21" s="53" t="str">
        <f>IF('Salary Detail'!P32="G",'Salary Detail'!K32,"")</f>
        <v/>
      </c>
      <c r="L21" s="53" t="str">
        <f>'Salary Detail'!M32</f>
        <v/>
      </c>
      <c r="M21" s="53" t="str">
        <f t="shared" si="0"/>
        <v/>
      </c>
    </row>
    <row r="22" spans="1:13" ht="13" customHeight="1" x14ac:dyDescent="0.25">
      <c r="A22" s="157" t="str">
        <f>IF('Salary Detail'!A33=0,"",'Salary Detail'!A33)</f>
        <v/>
      </c>
      <c r="B22" s="53" t="str">
        <f>IF('Salary Detail'!P33="f",'Salary Detail'!K33,"")</f>
        <v/>
      </c>
      <c r="C22" s="53" t="str">
        <f>IF('Salary Detail'!P33="o",'Salary Detail'!K33,"")</f>
        <v/>
      </c>
      <c r="D22" s="53" t="str">
        <f>IF('Salary Detail'!P33="l",'Salary Detail'!K33,"")</f>
        <v/>
      </c>
      <c r="E22" s="53" t="str">
        <f>IF('Salary Detail'!P33="a",'Salary Detail'!K33,"")</f>
        <v/>
      </c>
      <c r="F22" s="53" t="str">
        <f>IF('Salary Detail'!P33="t",'Salary Detail'!K33,"")</f>
        <v/>
      </c>
      <c r="G22" s="53" t="str">
        <f>IF('Salary Detail'!P33="p",'Salary Detail'!K33,"")</f>
        <v/>
      </c>
      <c r="H22" s="53" t="str">
        <f>IF('Salary Detail'!P33="r",'Salary Detail'!K33,"")</f>
        <v/>
      </c>
      <c r="I22" s="53" t="str">
        <f>IF('Salary Detail'!P33="s",'Salary Detail'!K33,"")</f>
        <v/>
      </c>
      <c r="J22" s="53" t="str">
        <f>IF('Salary Detail'!P33="w",'Salary Detail'!K33,"")</f>
        <v/>
      </c>
      <c r="K22" s="53" t="str">
        <f>IF('Salary Detail'!P33="G",'Salary Detail'!K33,"")</f>
        <v/>
      </c>
      <c r="L22" s="53" t="str">
        <f>'Salary Detail'!M33</f>
        <v/>
      </c>
      <c r="M22" s="53" t="str">
        <f t="shared" si="0"/>
        <v/>
      </c>
    </row>
    <row r="23" spans="1:13" ht="13" customHeight="1" x14ac:dyDescent="0.25">
      <c r="A23" s="157" t="str">
        <f>IF('Salary Detail'!A34=0,"",'Salary Detail'!A34)</f>
        <v/>
      </c>
      <c r="B23" s="53" t="str">
        <f>IF('Salary Detail'!P34="f",'Salary Detail'!K34,"")</f>
        <v/>
      </c>
      <c r="C23" s="53" t="str">
        <f>IF('Salary Detail'!P34="o",'Salary Detail'!K34,"")</f>
        <v/>
      </c>
      <c r="D23" s="53" t="str">
        <f>IF('Salary Detail'!P34="l",'Salary Detail'!K34,"")</f>
        <v/>
      </c>
      <c r="E23" s="53" t="str">
        <f>IF('Salary Detail'!P34="a",'Salary Detail'!K34,"")</f>
        <v/>
      </c>
      <c r="F23" s="53" t="str">
        <f>IF('Salary Detail'!P34="t",'Salary Detail'!K34,"")</f>
        <v/>
      </c>
      <c r="G23" s="53" t="str">
        <f>IF('Salary Detail'!P34="p",'Salary Detail'!K34,"")</f>
        <v/>
      </c>
      <c r="H23" s="53" t="str">
        <f>IF('Salary Detail'!P34="r",'Salary Detail'!K34,"")</f>
        <v/>
      </c>
      <c r="I23" s="53" t="str">
        <f>IF('Salary Detail'!P34="s",'Salary Detail'!K34,"")</f>
        <v/>
      </c>
      <c r="J23" s="53" t="str">
        <f>IF('Salary Detail'!P34="w",'Salary Detail'!K34,"")</f>
        <v/>
      </c>
      <c r="K23" s="53" t="str">
        <f>IF('Salary Detail'!P34="G",'Salary Detail'!K34,"")</f>
        <v/>
      </c>
      <c r="L23" s="53" t="str">
        <f>'Salary Detail'!M34</f>
        <v/>
      </c>
      <c r="M23" s="53" t="str">
        <f t="shared" si="0"/>
        <v/>
      </c>
    </row>
    <row r="24" spans="1:13" ht="13" customHeight="1" x14ac:dyDescent="0.25">
      <c r="A24" s="157" t="str">
        <f>IF('Salary Detail'!A35=0,"",'Salary Detail'!A35)</f>
        <v/>
      </c>
      <c r="B24" s="53" t="str">
        <f>IF('Salary Detail'!P35="f",'Salary Detail'!K35,"")</f>
        <v/>
      </c>
      <c r="C24" s="53" t="str">
        <f>IF('Salary Detail'!P35="o",'Salary Detail'!K35,"")</f>
        <v/>
      </c>
      <c r="D24" s="53" t="str">
        <f>IF('Salary Detail'!P35="l",'Salary Detail'!K35,"")</f>
        <v/>
      </c>
      <c r="E24" s="53" t="str">
        <f>IF('Salary Detail'!P35="a",'Salary Detail'!K35,"")</f>
        <v/>
      </c>
      <c r="F24" s="53" t="str">
        <f>IF('Salary Detail'!P35="t",'Salary Detail'!K35,"")</f>
        <v/>
      </c>
      <c r="G24" s="53" t="str">
        <f>IF('Salary Detail'!P35="p",'Salary Detail'!K35,"")</f>
        <v/>
      </c>
      <c r="H24" s="53" t="str">
        <f>IF('Salary Detail'!P35="r",'Salary Detail'!K35,"")</f>
        <v/>
      </c>
      <c r="I24" s="53" t="str">
        <f>IF('Salary Detail'!P35="s",'Salary Detail'!K35,"")</f>
        <v/>
      </c>
      <c r="J24" s="53" t="str">
        <f>IF('Salary Detail'!P35="w",'Salary Detail'!K35,"")</f>
        <v/>
      </c>
      <c r="K24" s="53" t="str">
        <f>IF('Salary Detail'!P35="G",'Salary Detail'!K35,"")</f>
        <v/>
      </c>
      <c r="L24" s="53" t="str">
        <f>'Salary Detail'!M35</f>
        <v/>
      </c>
      <c r="M24" s="53" t="str">
        <f t="shared" si="0"/>
        <v/>
      </c>
    </row>
    <row r="25" spans="1:13" ht="13" customHeight="1" x14ac:dyDescent="0.25">
      <c r="A25" s="157" t="str">
        <f>IF('Salary Detail'!A36=0,"",'Salary Detail'!A36)</f>
        <v/>
      </c>
      <c r="B25" s="53" t="str">
        <f>IF('Salary Detail'!P36="f",'Salary Detail'!K36,"")</f>
        <v/>
      </c>
      <c r="C25" s="53" t="str">
        <f>IF('Salary Detail'!P36="o",'Salary Detail'!K36,"")</f>
        <v/>
      </c>
      <c r="D25" s="53" t="str">
        <f>IF('Salary Detail'!P36="l",'Salary Detail'!K36,"")</f>
        <v/>
      </c>
      <c r="E25" s="53" t="str">
        <f>IF('Salary Detail'!P36="a",'Salary Detail'!K36,"")</f>
        <v/>
      </c>
      <c r="F25" s="53" t="str">
        <f>IF('Salary Detail'!P36="t",'Salary Detail'!K36,"")</f>
        <v/>
      </c>
      <c r="G25" s="53" t="str">
        <f>IF('Salary Detail'!P36="p",'Salary Detail'!K36,"")</f>
        <v/>
      </c>
      <c r="H25" s="53" t="str">
        <f>IF('Salary Detail'!P36="r",'Salary Detail'!K36,"")</f>
        <v/>
      </c>
      <c r="I25" s="53" t="str">
        <f>IF('Salary Detail'!P36="s",'Salary Detail'!K36,"")</f>
        <v/>
      </c>
      <c r="J25" s="53" t="str">
        <f>IF('Salary Detail'!P36="w",'Salary Detail'!K36,"")</f>
        <v/>
      </c>
      <c r="K25" s="53" t="str">
        <f>IF('Salary Detail'!P36="G",'Salary Detail'!K36,"")</f>
        <v/>
      </c>
      <c r="L25" s="53" t="str">
        <f>'Salary Detail'!M36</f>
        <v/>
      </c>
      <c r="M25" s="53" t="str">
        <f t="shared" si="0"/>
        <v/>
      </c>
    </row>
    <row r="26" spans="1:13" ht="13" customHeight="1" x14ac:dyDescent="0.25">
      <c r="A26" s="157" t="str">
        <f>IF('Salary Detail'!A37=0,"",'Salary Detail'!A37)</f>
        <v/>
      </c>
      <c r="B26" s="53" t="str">
        <f>IF('Salary Detail'!P37="f",'Salary Detail'!K37,"")</f>
        <v/>
      </c>
      <c r="C26" s="53" t="str">
        <f>IF('Salary Detail'!P37="o",'Salary Detail'!K37,"")</f>
        <v/>
      </c>
      <c r="D26" s="53" t="str">
        <f>IF('Salary Detail'!P37="l",'Salary Detail'!K37,"")</f>
        <v/>
      </c>
      <c r="E26" s="53" t="str">
        <f>IF('Salary Detail'!P37="a",'Salary Detail'!K37,"")</f>
        <v/>
      </c>
      <c r="F26" s="53" t="str">
        <f>IF('Salary Detail'!P37="t",'Salary Detail'!K37,"")</f>
        <v/>
      </c>
      <c r="G26" s="53" t="str">
        <f>IF('Salary Detail'!P37="p",'Salary Detail'!K37,"")</f>
        <v/>
      </c>
      <c r="H26" s="53" t="str">
        <f>IF('Salary Detail'!P37="r",'Salary Detail'!K37,"")</f>
        <v/>
      </c>
      <c r="I26" s="53" t="str">
        <f>IF('Salary Detail'!P37="s",'Salary Detail'!K37,"")</f>
        <v/>
      </c>
      <c r="J26" s="53" t="str">
        <f>IF('Salary Detail'!P37="w",'Salary Detail'!K37,"")</f>
        <v/>
      </c>
      <c r="K26" s="53" t="str">
        <f>IF('Salary Detail'!P37="G",'Salary Detail'!K37,"")</f>
        <v/>
      </c>
      <c r="L26" s="53" t="str">
        <f>'Salary Detail'!M37</f>
        <v/>
      </c>
      <c r="M26" s="53" t="str">
        <f t="shared" si="0"/>
        <v/>
      </c>
    </row>
    <row r="27" spans="1:13" ht="13" customHeight="1" x14ac:dyDescent="0.25">
      <c r="A27" s="157" t="str">
        <f>IF('Salary Detail'!A38=0,"",'Salary Detail'!A38)</f>
        <v/>
      </c>
      <c r="B27" s="53" t="str">
        <f>IF('Salary Detail'!P38="f",'Salary Detail'!K38,"")</f>
        <v/>
      </c>
      <c r="C27" s="53" t="str">
        <f>IF('Salary Detail'!P38="o",'Salary Detail'!K38,"")</f>
        <v/>
      </c>
      <c r="D27" s="53" t="str">
        <f>IF('Salary Detail'!P38="l",'Salary Detail'!K38,"")</f>
        <v/>
      </c>
      <c r="E27" s="53" t="str">
        <f>IF('Salary Detail'!P38="a",'Salary Detail'!K38,"")</f>
        <v/>
      </c>
      <c r="F27" s="53" t="str">
        <f>IF('Salary Detail'!P38="t",'Salary Detail'!K38,"")</f>
        <v/>
      </c>
      <c r="G27" s="53" t="str">
        <f>IF('Salary Detail'!P38="p",'Salary Detail'!K38,"")</f>
        <v/>
      </c>
      <c r="H27" s="53" t="str">
        <f>IF('Salary Detail'!P38="r",'Salary Detail'!K38,"")</f>
        <v/>
      </c>
      <c r="I27" s="53" t="str">
        <f>IF('Salary Detail'!P38="s",'Salary Detail'!K38,"")</f>
        <v/>
      </c>
      <c r="J27" s="53" t="str">
        <f>IF('Salary Detail'!P38="w",'Salary Detail'!K38,"")</f>
        <v/>
      </c>
      <c r="K27" s="53" t="str">
        <f>IF('Salary Detail'!P38="G",'Salary Detail'!K38,"")</f>
        <v/>
      </c>
      <c r="L27" s="53" t="str">
        <f>'Salary Detail'!M38</f>
        <v/>
      </c>
      <c r="M27" s="53" t="str">
        <f t="shared" si="0"/>
        <v/>
      </c>
    </row>
    <row r="28" spans="1:13" ht="13" customHeight="1" x14ac:dyDescent="0.25">
      <c r="A28" s="157" t="str">
        <f>IF('Salary Detail'!A39=0,"",'Salary Detail'!A39)</f>
        <v/>
      </c>
      <c r="B28" s="53" t="str">
        <f>IF('Salary Detail'!P39="f",'Salary Detail'!K39,"")</f>
        <v/>
      </c>
      <c r="C28" s="53" t="str">
        <f>IF('Salary Detail'!P39="o",'Salary Detail'!K39,"")</f>
        <v/>
      </c>
      <c r="D28" s="53" t="str">
        <f>IF('Salary Detail'!P39="l",'Salary Detail'!K39,"")</f>
        <v/>
      </c>
      <c r="E28" s="53" t="str">
        <f>IF('Salary Detail'!P39="a",'Salary Detail'!K39,"")</f>
        <v/>
      </c>
      <c r="F28" s="53" t="str">
        <f>IF('Salary Detail'!P39="t",'Salary Detail'!K39,"")</f>
        <v/>
      </c>
      <c r="G28" s="53" t="str">
        <f>IF('Salary Detail'!P39="p",'Salary Detail'!K39,"")</f>
        <v/>
      </c>
      <c r="H28" s="53" t="str">
        <f>IF('Salary Detail'!P39="r",'Salary Detail'!K39,"")</f>
        <v/>
      </c>
      <c r="I28" s="53" t="str">
        <f>IF('Salary Detail'!P39="s",'Salary Detail'!K39,"")</f>
        <v/>
      </c>
      <c r="J28" s="53" t="str">
        <f>IF('Salary Detail'!P39="w",'Salary Detail'!K39,"")</f>
        <v/>
      </c>
      <c r="K28" s="53" t="str">
        <f>IF('Salary Detail'!P39="G",'Salary Detail'!K39,"")</f>
        <v/>
      </c>
      <c r="L28" s="53" t="str">
        <f>'Salary Detail'!M39</f>
        <v/>
      </c>
      <c r="M28" s="53" t="str">
        <f t="shared" si="0"/>
        <v/>
      </c>
    </row>
    <row r="29" spans="1:13" ht="13" customHeight="1" x14ac:dyDescent="0.25">
      <c r="A29" s="157" t="str">
        <f>IF('Salary Detail'!A40=0,"",'Salary Detail'!A40)</f>
        <v/>
      </c>
      <c r="B29" s="53" t="str">
        <f>IF('Salary Detail'!P40="f",'Salary Detail'!K40,"")</f>
        <v/>
      </c>
      <c r="C29" s="53" t="str">
        <f>IF('Salary Detail'!P40="o",'Salary Detail'!K40,"")</f>
        <v/>
      </c>
      <c r="D29" s="53" t="str">
        <f>IF('Salary Detail'!P40="l",'Salary Detail'!K40,"")</f>
        <v/>
      </c>
      <c r="E29" s="53" t="str">
        <f>IF('Salary Detail'!P40="a",'Salary Detail'!K40,"")</f>
        <v/>
      </c>
      <c r="F29" s="53" t="str">
        <f>IF('Salary Detail'!P40="t",'Salary Detail'!K40,"")</f>
        <v/>
      </c>
      <c r="G29" s="53" t="str">
        <f>IF('Salary Detail'!P40="p",'Salary Detail'!K40,"")</f>
        <v/>
      </c>
      <c r="H29" s="53" t="str">
        <f>IF('Salary Detail'!P40="r",'Salary Detail'!K40,"")</f>
        <v/>
      </c>
      <c r="I29" s="53" t="str">
        <f>IF('Salary Detail'!P40="s",'Salary Detail'!K40,"")</f>
        <v/>
      </c>
      <c r="J29" s="53" t="str">
        <f>IF('Salary Detail'!P40="w",'Salary Detail'!K40,"")</f>
        <v/>
      </c>
      <c r="K29" s="53" t="str">
        <f>IF('Salary Detail'!P40="G",'Salary Detail'!K40,"")</f>
        <v/>
      </c>
      <c r="L29" s="53" t="str">
        <f>'Salary Detail'!M40</f>
        <v/>
      </c>
      <c r="M29" s="53" t="str">
        <f t="shared" si="0"/>
        <v/>
      </c>
    </row>
    <row r="30" spans="1:13" ht="13" customHeight="1" x14ac:dyDescent="0.25">
      <c r="A30" s="157" t="str">
        <f>IF('Salary Detail'!A41=0,"",'Salary Detail'!A41)</f>
        <v/>
      </c>
      <c r="B30" s="53" t="str">
        <f>IF('Salary Detail'!P41="f",'Salary Detail'!K41,"")</f>
        <v/>
      </c>
      <c r="C30" s="53" t="str">
        <f>IF('Salary Detail'!P41="o",'Salary Detail'!K41,"")</f>
        <v/>
      </c>
      <c r="D30" s="53" t="str">
        <f>IF('Salary Detail'!P41="l",'Salary Detail'!K41,"")</f>
        <v/>
      </c>
      <c r="E30" s="53" t="str">
        <f>IF('Salary Detail'!P41="a",'Salary Detail'!K41,"")</f>
        <v/>
      </c>
      <c r="F30" s="53" t="str">
        <f>IF('Salary Detail'!P41="t",'Salary Detail'!K41,"")</f>
        <v/>
      </c>
      <c r="G30" s="53" t="str">
        <f>IF('Salary Detail'!P41="p",'Salary Detail'!K41,"")</f>
        <v/>
      </c>
      <c r="H30" s="53" t="str">
        <f>IF('Salary Detail'!P41="r",'Salary Detail'!K41,"")</f>
        <v/>
      </c>
      <c r="I30" s="53" t="str">
        <f>IF('Salary Detail'!P41="s",'Salary Detail'!K41,"")</f>
        <v/>
      </c>
      <c r="J30" s="53" t="str">
        <f>IF('Salary Detail'!P41="w",'Salary Detail'!K41,"")</f>
        <v/>
      </c>
      <c r="K30" s="53" t="str">
        <f>IF('Salary Detail'!P41="G",'Salary Detail'!K41,"")</f>
        <v/>
      </c>
      <c r="L30" s="53" t="str">
        <f>'Salary Detail'!M41</f>
        <v/>
      </c>
      <c r="M30" s="53" t="str">
        <f t="shared" si="0"/>
        <v/>
      </c>
    </row>
    <row r="31" spans="1:13" ht="13" customHeight="1" x14ac:dyDescent="0.25">
      <c r="A31" s="157" t="str">
        <f>IF('Salary Detail'!A42=0,"",'Salary Detail'!A42)</f>
        <v/>
      </c>
      <c r="B31" s="53" t="str">
        <f>IF('Salary Detail'!P42="f",'Salary Detail'!K42,"")</f>
        <v/>
      </c>
      <c r="C31" s="53" t="str">
        <f>IF('Salary Detail'!P42="o",'Salary Detail'!K42,"")</f>
        <v/>
      </c>
      <c r="D31" s="53" t="str">
        <f>IF('Salary Detail'!P42="l",'Salary Detail'!K42,"")</f>
        <v/>
      </c>
      <c r="E31" s="53" t="str">
        <f>IF('Salary Detail'!P42="a",'Salary Detail'!K42,"")</f>
        <v/>
      </c>
      <c r="F31" s="53" t="str">
        <f>IF('Salary Detail'!P42="t",'Salary Detail'!K42,"")</f>
        <v/>
      </c>
      <c r="G31" s="53" t="str">
        <f>IF('Salary Detail'!P42="p",'Salary Detail'!K42,"")</f>
        <v/>
      </c>
      <c r="H31" s="53" t="str">
        <f>IF('Salary Detail'!P42="r",'Salary Detail'!K42,"")</f>
        <v/>
      </c>
      <c r="I31" s="53" t="str">
        <f>IF('Salary Detail'!P42="s",'Salary Detail'!K42,"")</f>
        <v/>
      </c>
      <c r="J31" s="53" t="str">
        <f>IF('Salary Detail'!P42="w",'Salary Detail'!K42,"")</f>
        <v/>
      </c>
      <c r="K31" s="53" t="str">
        <f>IF('Salary Detail'!P42="G",'Salary Detail'!K42,"")</f>
        <v/>
      </c>
      <c r="L31" s="53" t="str">
        <f>'Salary Detail'!M42</f>
        <v/>
      </c>
      <c r="M31" s="53" t="str">
        <f t="shared" si="0"/>
        <v/>
      </c>
    </row>
    <row r="32" spans="1:13" ht="13" customHeight="1" x14ac:dyDescent="0.25">
      <c r="A32" s="157" t="str">
        <f>IF('Salary Detail'!A43=0,"",'Salary Detail'!A43)</f>
        <v/>
      </c>
      <c r="B32" s="53" t="str">
        <f>IF('Salary Detail'!P43="f",'Salary Detail'!K43,"")</f>
        <v/>
      </c>
      <c r="C32" s="53" t="str">
        <f>IF('Salary Detail'!P43="o",'Salary Detail'!K43,"")</f>
        <v/>
      </c>
      <c r="D32" s="53" t="str">
        <f>IF('Salary Detail'!P43="l",'Salary Detail'!K43,"")</f>
        <v/>
      </c>
      <c r="E32" s="53" t="str">
        <f>IF('Salary Detail'!P43="a",'Salary Detail'!K43,"")</f>
        <v/>
      </c>
      <c r="F32" s="53" t="str">
        <f>IF('Salary Detail'!P43="t",'Salary Detail'!K43,"")</f>
        <v/>
      </c>
      <c r="G32" s="53" t="str">
        <f>IF('Salary Detail'!P43="p",'Salary Detail'!K43,"")</f>
        <v/>
      </c>
      <c r="H32" s="53" t="str">
        <f>IF('Salary Detail'!P43="r",'Salary Detail'!K43,"")</f>
        <v/>
      </c>
      <c r="I32" s="53" t="str">
        <f>IF('Salary Detail'!P43="s",'Salary Detail'!K43,"")</f>
        <v/>
      </c>
      <c r="J32" s="53" t="str">
        <f>IF('Salary Detail'!P43="w",'Salary Detail'!K43,"")</f>
        <v/>
      </c>
      <c r="K32" s="53" t="str">
        <f>IF('Salary Detail'!P43="G",'Salary Detail'!K43,"")</f>
        <v/>
      </c>
      <c r="L32" s="53" t="str">
        <f>'Salary Detail'!M43</f>
        <v/>
      </c>
      <c r="M32" s="53" t="str">
        <f t="shared" si="0"/>
        <v/>
      </c>
    </row>
    <row r="33" spans="1:13" ht="13" customHeight="1" x14ac:dyDescent="0.25">
      <c r="A33" s="157" t="str">
        <f>IF('Salary Detail'!A44=0,"",'Salary Detail'!A44)</f>
        <v/>
      </c>
      <c r="B33" s="53" t="str">
        <f>IF('Salary Detail'!P44="f",'Salary Detail'!K44,"")</f>
        <v/>
      </c>
      <c r="C33" s="53" t="str">
        <f>IF('Salary Detail'!P44="o",'Salary Detail'!K44,"")</f>
        <v/>
      </c>
      <c r="D33" s="53" t="str">
        <f>IF('Salary Detail'!P44="l",'Salary Detail'!K44,"")</f>
        <v/>
      </c>
      <c r="E33" s="53" t="str">
        <f>IF('Salary Detail'!P44="a",'Salary Detail'!K44,"")</f>
        <v/>
      </c>
      <c r="F33" s="53" t="str">
        <f>IF('Salary Detail'!P44="t",'Salary Detail'!K44,"")</f>
        <v/>
      </c>
      <c r="G33" s="53" t="str">
        <f>IF('Salary Detail'!P44="p",'Salary Detail'!K44,"")</f>
        <v/>
      </c>
      <c r="H33" s="53" t="str">
        <f>IF('Salary Detail'!P44="r",'Salary Detail'!K44,"")</f>
        <v/>
      </c>
      <c r="I33" s="53" t="str">
        <f>IF('Salary Detail'!P44="s",'Salary Detail'!K44,"")</f>
        <v/>
      </c>
      <c r="J33" s="53" t="str">
        <f>IF('Salary Detail'!P44="w",'Salary Detail'!K44,"")</f>
        <v/>
      </c>
      <c r="K33" s="53" t="str">
        <f>IF('Salary Detail'!P44="G",'Salary Detail'!K44,"")</f>
        <v/>
      </c>
      <c r="L33" s="53" t="str">
        <f>'Salary Detail'!M44</f>
        <v/>
      </c>
      <c r="M33" s="53" t="str">
        <f t="shared" si="0"/>
        <v/>
      </c>
    </row>
    <row r="34" spans="1:13" ht="13" customHeight="1" x14ac:dyDescent="0.25">
      <c r="A34" s="157" t="str">
        <f>IF('Salary Detail'!A45=0,"",'Salary Detail'!A45)</f>
        <v/>
      </c>
      <c r="B34" s="53" t="str">
        <f>IF('Salary Detail'!P45="f",'Salary Detail'!K45,"")</f>
        <v/>
      </c>
      <c r="C34" s="53" t="str">
        <f>IF('Salary Detail'!P45="o",'Salary Detail'!K45,"")</f>
        <v/>
      </c>
      <c r="D34" s="53" t="str">
        <f>IF('Salary Detail'!P45="l",'Salary Detail'!K45,"")</f>
        <v/>
      </c>
      <c r="E34" s="53" t="str">
        <f>IF('Salary Detail'!P45="a",'Salary Detail'!K45,"")</f>
        <v/>
      </c>
      <c r="F34" s="53" t="str">
        <f>IF('Salary Detail'!P45="t",'Salary Detail'!K45,"")</f>
        <v/>
      </c>
      <c r="G34" s="53" t="str">
        <f>IF('Salary Detail'!P45="p",'Salary Detail'!K45,"")</f>
        <v/>
      </c>
      <c r="H34" s="53" t="str">
        <f>IF('Salary Detail'!P45="r",'Salary Detail'!K45,"")</f>
        <v/>
      </c>
      <c r="I34" s="53" t="str">
        <f>IF('Salary Detail'!P45="s",'Salary Detail'!K45,"")</f>
        <v/>
      </c>
      <c r="J34" s="53" t="str">
        <f>IF('Salary Detail'!P45="w",'Salary Detail'!K45,"")</f>
        <v/>
      </c>
      <c r="K34" s="53" t="str">
        <f>IF('Salary Detail'!P45="G",'Salary Detail'!K45,"")</f>
        <v/>
      </c>
      <c r="L34" s="53" t="str">
        <f>'Salary Detail'!M45</f>
        <v/>
      </c>
      <c r="M34" s="53" t="str">
        <f t="shared" si="0"/>
        <v/>
      </c>
    </row>
    <row r="35" spans="1:13" ht="13" customHeight="1" x14ac:dyDescent="0.25">
      <c r="A35" s="157" t="str">
        <f>IF('Salary Detail'!A46=0,"",'Salary Detail'!A46)</f>
        <v/>
      </c>
      <c r="B35" s="53" t="str">
        <f>IF('Salary Detail'!P46="f",'Salary Detail'!K46,"")</f>
        <v/>
      </c>
      <c r="C35" s="53" t="str">
        <f>IF('Salary Detail'!P46="o",'Salary Detail'!K46,"")</f>
        <v/>
      </c>
      <c r="D35" s="53" t="str">
        <f>IF('Salary Detail'!P46="l",'Salary Detail'!K46,"")</f>
        <v/>
      </c>
      <c r="E35" s="53" t="str">
        <f>IF('Salary Detail'!P46="a",'Salary Detail'!K46,"")</f>
        <v/>
      </c>
      <c r="F35" s="53" t="str">
        <f>IF('Salary Detail'!P46="t",'Salary Detail'!K46,"")</f>
        <v/>
      </c>
      <c r="G35" s="53" t="str">
        <f>IF('Salary Detail'!P46="p",'Salary Detail'!K46,"")</f>
        <v/>
      </c>
      <c r="H35" s="53" t="str">
        <f>IF('Salary Detail'!P46="r",'Salary Detail'!K46,"")</f>
        <v/>
      </c>
      <c r="I35" s="53" t="str">
        <f>IF('Salary Detail'!P46="s",'Salary Detail'!K46,"")</f>
        <v/>
      </c>
      <c r="J35" s="53" t="str">
        <f>IF('Salary Detail'!P46="w",'Salary Detail'!K46,"")</f>
        <v/>
      </c>
      <c r="K35" s="53" t="str">
        <f>IF('Salary Detail'!P46="G",'Salary Detail'!K46,"")</f>
        <v/>
      </c>
      <c r="L35" s="53" t="str">
        <f>'Salary Detail'!M46</f>
        <v/>
      </c>
      <c r="M35" s="53" t="str">
        <f t="shared" si="0"/>
        <v/>
      </c>
    </row>
    <row r="36" spans="1:13" ht="13" customHeight="1" x14ac:dyDescent="0.25">
      <c r="A36" s="157" t="str">
        <f>IF('Salary Detail'!A47=0,"",'Salary Detail'!A47)</f>
        <v/>
      </c>
      <c r="B36" s="53" t="str">
        <f>IF('Salary Detail'!P47="f",'Salary Detail'!K47,"")</f>
        <v/>
      </c>
      <c r="C36" s="53" t="str">
        <f>IF('Salary Detail'!P47="o",'Salary Detail'!K47,"")</f>
        <v/>
      </c>
      <c r="D36" s="53" t="str">
        <f>IF('Salary Detail'!P47="l",'Salary Detail'!K47,"")</f>
        <v/>
      </c>
      <c r="E36" s="53" t="str">
        <f>IF('Salary Detail'!P47="a",'Salary Detail'!K47,"")</f>
        <v/>
      </c>
      <c r="F36" s="53" t="str">
        <f>IF('Salary Detail'!P47="t",'Salary Detail'!K47,"")</f>
        <v/>
      </c>
      <c r="G36" s="53" t="str">
        <f>IF('Salary Detail'!P47="p",'Salary Detail'!K47,"")</f>
        <v/>
      </c>
      <c r="H36" s="53" t="str">
        <f>IF('Salary Detail'!P47="r",'Salary Detail'!K47,"")</f>
        <v/>
      </c>
      <c r="I36" s="53" t="str">
        <f>IF('Salary Detail'!P47="s",'Salary Detail'!K47,"")</f>
        <v/>
      </c>
      <c r="J36" s="53" t="str">
        <f>IF('Salary Detail'!P47="w",'Salary Detail'!K47,"")</f>
        <v/>
      </c>
      <c r="K36" s="53" t="str">
        <f>IF('Salary Detail'!P47="G",'Salary Detail'!K47,"")</f>
        <v/>
      </c>
      <c r="L36" s="53" t="str">
        <f>'Salary Detail'!M47</f>
        <v/>
      </c>
      <c r="M36" s="53" t="str">
        <f t="shared" si="0"/>
        <v/>
      </c>
    </row>
    <row r="37" spans="1:13" ht="13" customHeight="1" x14ac:dyDescent="0.25">
      <c r="A37" s="157" t="str">
        <f>IF('Salary Detail'!A48=0,"",'Salary Detail'!A48)</f>
        <v/>
      </c>
      <c r="B37" s="53" t="str">
        <f>IF('Salary Detail'!P48="f",'Salary Detail'!K48,"")</f>
        <v/>
      </c>
      <c r="C37" s="53" t="str">
        <f>IF('Salary Detail'!P48="o",'Salary Detail'!K48,"")</f>
        <v/>
      </c>
      <c r="D37" s="53" t="str">
        <f>IF('Salary Detail'!P48="l",'Salary Detail'!K48,"")</f>
        <v/>
      </c>
      <c r="E37" s="53" t="str">
        <f>IF('Salary Detail'!P48="a",'Salary Detail'!K48,"")</f>
        <v/>
      </c>
      <c r="F37" s="53" t="str">
        <f>IF('Salary Detail'!P48="t",'Salary Detail'!K48,"")</f>
        <v/>
      </c>
      <c r="G37" s="53" t="str">
        <f>IF('Salary Detail'!P48="p",'Salary Detail'!K48,"")</f>
        <v/>
      </c>
      <c r="H37" s="53" t="str">
        <f>IF('Salary Detail'!P48="r",'Salary Detail'!K48,"")</f>
        <v/>
      </c>
      <c r="I37" s="53" t="str">
        <f>IF('Salary Detail'!P48="s",'Salary Detail'!K48,"")</f>
        <v/>
      </c>
      <c r="J37" s="53" t="str">
        <f>IF('Salary Detail'!P48="w",'Salary Detail'!K48,"")</f>
        <v/>
      </c>
      <c r="K37" s="53" t="str">
        <f>IF('Salary Detail'!P48="G",'Salary Detail'!K48,"")</f>
        <v/>
      </c>
      <c r="L37" s="53" t="str">
        <f>'Salary Detail'!M48</f>
        <v/>
      </c>
      <c r="M37" s="53" t="str">
        <f t="shared" si="0"/>
        <v/>
      </c>
    </row>
    <row r="38" spans="1:13" ht="13" customHeight="1" x14ac:dyDescent="0.25">
      <c r="A38" s="157" t="str">
        <f>IF('Salary Detail'!A49=0,"",'Salary Detail'!A49)</f>
        <v/>
      </c>
      <c r="B38" s="53" t="str">
        <f>IF('Salary Detail'!P49="f",'Salary Detail'!K49,"")</f>
        <v/>
      </c>
      <c r="C38" s="53" t="str">
        <f>IF('Salary Detail'!P49="o",'Salary Detail'!K49,"")</f>
        <v/>
      </c>
      <c r="D38" s="53" t="str">
        <f>IF('Salary Detail'!P49="l",'Salary Detail'!K49,"")</f>
        <v/>
      </c>
      <c r="E38" s="53" t="str">
        <f>IF('Salary Detail'!P49="a",'Salary Detail'!K49,"")</f>
        <v/>
      </c>
      <c r="F38" s="53" t="str">
        <f>IF('Salary Detail'!P49="t",'Salary Detail'!K49,"")</f>
        <v/>
      </c>
      <c r="G38" s="53" t="str">
        <f>IF('Salary Detail'!P49="p",'Salary Detail'!K49,"")</f>
        <v/>
      </c>
      <c r="H38" s="53" t="str">
        <f>IF('Salary Detail'!P49="r",'Salary Detail'!K49,"")</f>
        <v/>
      </c>
      <c r="I38" s="53" t="str">
        <f>IF('Salary Detail'!P49="s",'Salary Detail'!K49,"")</f>
        <v/>
      </c>
      <c r="J38" s="53" t="str">
        <f>IF('Salary Detail'!P49="w",'Salary Detail'!K49,"")</f>
        <v/>
      </c>
      <c r="K38" s="53" t="str">
        <f>IF('Salary Detail'!P49="G",'Salary Detail'!K49,"")</f>
        <v/>
      </c>
      <c r="L38" s="53" t="str">
        <f>'Salary Detail'!M49</f>
        <v/>
      </c>
      <c r="M38" s="53" t="str">
        <f t="shared" si="0"/>
        <v/>
      </c>
    </row>
    <row r="39" spans="1:13" ht="13" customHeight="1" x14ac:dyDescent="0.25">
      <c r="A39" s="157" t="str">
        <f>IF('Salary Detail'!A50=0,"",'Salary Detail'!A50)</f>
        <v/>
      </c>
      <c r="B39" s="53" t="str">
        <f>IF('Salary Detail'!P50="f",'Salary Detail'!K50,"")</f>
        <v/>
      </c>
      <c r="C39" s="53" t="str">
        <f>IF('Salary Detail'!P50="o",'Salary Detail'!K50,"")</f>
        <v/>
      </c>
      <c r="D39" s="53" t="str">
        <f>IF('Salary Detail'!P50="l",'Salary Detail'!K50,"")</f>
        <v/>
      </c>
      <c r="E39" s="53" t="str">
        <f>IF('Salary Detail'!P50="a",'Salary Detail'!K50,"")</f>
        <v/>
      </c>
      <c r="F39" s="53" t="str">
        <f>IF('Salary Detail'!P50="t",'Salary Detail'!K50,"")</f>
        <v/>
      </c>
      <c r="G39" s="53" t="str">
        <f>IF('Salary Detail'!P50="p",'Salary Detail'!K50,"")</f>
        <v/>
      </c>
      <c r="H39" s="53" t="str">
        <f>IF('Salary Detail'!P50="r",'Salary Detail'!K50,"")</f>
        <v/>
      </c>
      <c r="I39" s="53" t="str">
        <f>IF('Salary Detail'!P50="s",'Salary Detail'!K50,"")</f>
        <v/>
      </c>
      <c r="J39" s="53" t="str">
        <f>IF('Salary Detail'!P50="w",'Salary Detail'!K50,"")</f>
        <v/>
      </c>
      <c r="K39" s="53" t="str">
        <f>IF('Salary Detail'!P50="G",'Salary Detail'!K50,"")</f>
        <v/>
      </c>
      <c r="L39" s="53" t="str">
        <f>'Salary Detail'!M50</f>
        <v/>
      </c>
      <c r="M39" s="53" t="str">
        <f t="shared" si="0"/>
        <v/>
      </c>
    </row>
    <row r="40" spans="1:13" ht="13" customHeight="1" x14ac:dyDescent="0.25">
      <c r="A40" s="157" t="str">
        <f>IF('Salary Detail'!A51=0,"",'Salary Detail'!A51)</f>
        <v/>
      </c>
      <c r="B40" s="53" t="str">
        <f>IF('Salary Detail'!P51="f",'Salary Detail'!K51,"")</f>
        <v/>
      </c>
      <c r="C40" s="53" t="str">
        <f>IF('Salary Detail'!P51="o",'Salary Detail'!K51,"")</f>
        <v/>
      </c>
      <c r="D40" s="53" t="str">
        <f>IF('Salary Detail'!P51="l",'Salary Detail'!K51,"")</f>
        <v/>
      </c>
      <c r="E40" s="53" t="str">
        <f>IF('Salary Detail'!P51="a",'Salary Detail'!K51,"")</f>
        <v/>
      </c>
      <c r="F40" s="53" t="str">
        <f>IF('Salary Detail'!P51="t",'Salary Detail'!K51,"")</f>
        <v/>
      </c>
      <c r="G40" s="53" t="str">
        <f>IF('Salary Detail'!P51="p",'Salary Detail'!K51,"")</f>
        <v/>
      </c>
      <c r="H40" s="53" t="str">
        <f>IF('Salary Detail'!P51="r",'Salary Detail'!K51,"")</f>
        <v/>
      </c>
      <c r="I40" s="53" t="str">
        <f>IF('Salary Detail'!P51="s",'Salary Detail'!K51,"")</f>
        <v/>
      </c>
      <c r="J40" s="53" t="str">
        <f>IF('Salary Detail'!P51="w",'Salary Detail'!K51,"")</f>
        <v/>
      </c>
      <c r="K40" s="53" t="str">
        <f>IF('Salary Detail'!P51="G",'Salary Detail'!K51,"")</f>
        <v/>
      </c>
      <c r="L40" s="53" t="str">
        <f>'Salary Detail'!M51</f>
        <v/>
      </c>
      <c r="M40" s="53" t="str">
        <f t="shared" si="0"/>
        <v/>
      </c>
    </row>
    <row r="41" spans="1:13" ht="13" customHeight="1" x14ac:dyDescent="0.25">
      <c r="A41" s="157" t="str">
        <f>IF('Salary Detail'!A52=0,"",'Salary Detail'!A52)</f>
        <v/>
      </c>
      <c r="B41" s="53" t="str">
        <f>IF('Salary Detail'!P52="f",'Salary Detail'!K52,"")</f>
        <v/>
      </c>
      <c r="C41" s="53" t="str">
        <f>IF('Salary Detail'!P52="o",'Salary Detail'!K52,"")</f>
        <v/>
      </c>
      <c r="D41" s="53" t="str">
        <f>IF('Salary Detail'!P52="l",'Salary Detail'!K52,"")</f>
        <v/>
      </c>
      <c r="E41" s="53" t="str">
        <f>IF('Salary Detail'!P52="a",'Salary Detail'!K52,"")</f>
        <v/>
      </c>
      <c r="F41" s="53" t="str">
        <f>IF('Salary Detail'!P52="t",'Salary Detail'!K52,"")</f>
        <v/>
      </c>
      <c r="G41" s="53" t="str">
        <f>IF('Salary Detail'!P52="p",'Salary Detail'!K52,"")</f>
        <v/>
      </c>
      <c r="H41" s="53" t="str">
        <f>IF('Salary Detail'!P52="r",'Salary Detail'!K52,"")</f>
        <v/>
      </c>
      <c r="I41" s="53" t="str">
        <f>IF('Salary Detail'!P52="s",'Salary Detail'!K52,"")</f>
        <v/>
      </c>
      <c r="J41" s="53" t="str">
        <f>IF('Salary Detail'!P52="w",'Salary Detail'!K52,"")</f>
        <v/>
      </c>
      <c r="K41" s="53" t="str">
        <f>IF('Salary Detail'!P52="G",'Salary Detail'!K52,"")</f>
        <v/>
      </c>
      <c r="L41" s="53" t="str">
        <f>'Salary Detail'!M52</f>
        <v/>
      </c>
      <c r="M41" s="53" t="str">
        <f t="shared" si="0"/>
        <v/>
      </c>
    </row>
    <row r="42" spans="1:13" ht="13" customHeight="1" x14ac:dyDescent="0.25">
      <c r="A42" s="157" t="str">
        <f>IF('Salary Detail'!A53=0,"",'Salary Detail'!A53)</f>
        <v/>
      </c>
      <c r="B42" s="53" t="str">
        <f>IF('Salary Detail'!P53="f",'Salary Detail'!K53,"")</f>
        <v/>
      </c>
      <c r="C42" s="53" t="str">
        <f>IF('Salary Detail'!P53="o",'Salary Detail'!K53,"")</f>
        <v/>
      </c>
      <c r="D42" s="53" t="str">
        <f>IF('Salary Detail'!P53="l",'Salary Detail'!K53,"")</f>
        <v/>
      </c>
      <c r="E42" s="53" t="str">
        <f>IF('Salary Detail'!P53="a",'Salary Detail'!K53,"")</f>
        <v/>
      </c>
      <c r="F42" s="53" t="str">
        <f>IF('Salary Detail'!P53="t",'Salary Detail'!K53,"")</f>
        <v/>
      </c>
      <c r="G42" s="53" t="str">
        <f>IF('Salary Detail'!P53="p",'Salary Detail'!K53,"")</f>
        <v/>
      </c>
      <c r="H42" s="53" t="str">
        <f>IF('Salary Detail'!P53="r",'Salary Detail'!K53,"")</f>
        <v/>
      </c>
      <c r="I42" s="53" t="str">
        <f>IF('Salary Detail'!P53="s",'Salary Detail'!K53,"")</f>
        <v/>
      </c>
      <c r="J42" s="53" t="str">
        <f>IF('Salary Detail'!P53="w",'Salary Detail'!K53,"")</f>
        <v/>
      </c>
      <c r="K42" s="53" t="str">
        <f>IF('Salary Detail'!P53="G",'Salary Detail'!K53,"")</f>
        <v/>
      </c>
      <c r="L42" s="53" t="str">
        <f>'Salary Detail'!M53</f>
        <v/>
      </c>
      <c r="M42" s="53" t="str">
        <f t="shared" si="0"/>
        <v/>
      </c>
    </row>
    <row r="43" spans="1:13" ht="13" customHeight="1" x14ac:dyDescent="0.25">
      <c r="A43" s="157" t="str">
        <f>IF('Salary Detail'!A54=0,"",'Salary Detail'!A54)</f>
        <v/>
      </c>
      <c r="B43" s="53" t="str">
        <f>IF('Salary Detail'!P54="f",'Salary Detail'!K54,"")</f>
        <v/>
      </c>
      <c r="C43" s="53" t="str">
        <f>IF('Salary Detail'!P54="o",'Salary Detail'!K54,"")</f>
        <v/>
      </c>
      <c r="D43" s="53" t="str">
        <f>IF('Salary Detail'!P54="l",'Salary Detail'!K54,"")</f>
        <v/>
      </c>
      <c r="E43" s="53" t="str">
        <f>IF('Salary Detail'!P54="a",'Salary Detail'!K54,"")</f>
        <v/>
      </c>
      <c r="F43" s="53" t="str">
        <f>IF('Salary Detail'!P54="t",'Salary Detail'!K54,"")</f>
        <v/>
      </c>
      <c r="G43" s="53" t="str">
        <f>IF('Salary Detail'!P54="p",'Salary Detail'!K54,"")</f>
        <v/>
      </c>
      <c r="H43" s="53" t="str">
        <f>IF('Salary Detail'!P54="r",'Salary Detail'!K54,"")</f>
        <v/>
      </c>
      <c r="I43" s="53" t="str">
        <f>IF('Salary Detail'!P54="s",'Salary Detail'!K54,"")</f>
        <v/>
      </c>
      <c r="J43" s="53" t="str">
        <f>IF('Salary Detail'!P54="w",'Salary Detail'!K54,"")</f>
        <v/>
      </c>
      <c r="K43" s="53" t="str">
        <f>IF('Salary Detail'!P54="G",'Salary Detail'!K54,"")</f>
        <v/>
      </c>
      <c r="L43" s="53" t="str">
        <f>'Salary Detail'!M54</f>
        <v/>
      </c>
      <c r="M43" s="53" t="str">
        <f t="shared" si="0"/>
        <v/>
      </c>
    </row>
    <row r="44" spans="1:13" ht="13" customHeight="1" x14ac:dyDescent="0.25">
      <c r="A44" s="157" t="str">
        <f>IF('Salary Detail'!A55=0,"",'Salary Detail'!A55)</f>
        <v/>
      </c>
      <c r="B44" s="53" t="str">
        <f>IF('Salary Detail'!P55="f",'Salary Detail'!K55,"")</f>
        <v/>
      </c>
      <c r="C44" s="53" t="str">
        <f>IF('Salary Detail'!P55="o",'Salary Detail'!K55,"")</f>
        <v/>
      </c>
      <c r="D44" s="53" t="str">
        <f>IF('Salary Detail'!P55="l",'Salary Detail'!K55,"")</f>
        <v/>
      </c>
      <c r="E44" s="53" t="str">
        <f>IF('Salary Detail'!P55="a",'Salary Detail'!K55,"")</f>
        <v/>
      </c>
      <c r="F44" s="53" t="str">
        <f>IF('Salary Detail'!P55="t",'Salary Detail'!K55,"")</f>
        <v/>
      </c>
      <c r="G44" s="53" t="str">
        <f>IF('Salary Detail'!P55="p",'Salary Detail'!K55,"")</f>
        <v/>
      </c>
      <c r="H44" s="53" t="str">
        <f>IF('Salary Detail'!P55="r",'Salary Detail'!K55,"")</f>
        <v/>
      </c>
      <c r="I44" s="53" t="str">
        <f>IF('Salary Detail'!P55="s",'Salary Detail'!K55,"")</f>
        <v/>
      </c>
      <c r="J44" s="53" t="str">
        <f>IF('Salary Detail'!P55="w",'Salary Detail'!K55,"")</f>
        <v/>
      </c>
      <c r="K44" s="53" t="str">
        <f>IF('Salary Detail'!P55="G",'Salary Detail'!K55,"")</f>
        <v/>
      </c>
      <c r="L44" s="53" t="str">
        <f>'Salary Detail'!M55</f>
        <v/>
      </c>
      <c r="M44" s="53" t="str">
        <f t="shared" si="0"/>
        <v/>
      </c>
    </row>
    <row r="45" spans="1:13" ht="13" customHeight="1" x14ac:dyDescent="0.25">
      <c r="A45" s="157" t="str">
        <f>IF('Salary Detail'!A56=0,"",'Salary Detail'!A56)</f>
        <v/>
      </c>
      <c r="B45" s="53" t="str">
        <f>IF('Salary Detail'!P56="f",'Salary Detail'!K56,"")</f>
        <v/>
      </c>
      <c r="C45" s="53" t="str">
        <f>IF('Salary Detail'!P56="o",'Salary Detail'!K56,"")</f>
        <v/>
      </c>
      <c r="D45" s="53" t="str">
        <f>IF('Salary Detail'!P56="l",'Salary Detail'!K56,"")</f>
        <v/>
      </c>
      <c r="E45" s="53" t="str">
        <f>IF('Salary Detail'!P56="a",'Salary Detail'!K56,"")</f>
        <v/>
      </c>
      <c r="F45" s="53" t="str">
        <f>IF('Salary Detail'!P56="t",'Salary Detail'!K56,"")</f>
        <v/>
      </c>
      <c r="G45" s="53" t="str">
        <f>IF('Salary Detail'!P56="p",'Salary Detail'!K56,"")</f>
        <v/>
      </c>
      <c r="H45" s="53" t="str">
        <f>IF('Salary Detail'!P56="r",'Salary Detail'!K56,"")</f>
        <v/>
      </c>
      <c r="I45" s="53" t="str">
        <f>IF('Salary Detail'!P56="s",'Salary Detail'!K56,"")</f>
        <v/>
      </c>
      <c r="J45" s="53" t="str">
        <f>IF('Salary Detail'!P56="w",'Salary Detail'!K56,"")</f>
        <v/>
      </c>
      <c r="K45" s="53" t="str">
        <f>IF('Salary Detail'!P56="G",'Salary Detail'!K56,"")</f>
        <v/>
      </c>
      <c r="L45" s="53" t="str">
        <f>'Salary Detail'!M56</f>
        <v/>
      </c>
      <c r="M45" s="53" t="str">
        <f t="shared" si="0"/>
        <v/>
      </c>
    </row>
    <row r="46" spans="1:13" ht="13" customHeight="1" x14ac:dyDescent="0.25">
      <c r="A46" s="157" t="str">
        <f>IF('Salary Detail'!A57=0,"",'Salary Detail'!A57)</f>
        <v/>
      </c>
      <c r="B46" s="53" t="str">
        <f>IF('Salary Detail'!P57="f",'Salary Detail'!K57,"")</f>
        <v/>
      </c>
      <c r="C46" s="53" t="str">
        <f>IF('Salary Detail'!P57="o",'Salary Detail'!K57,"")</f>
        <v/>
      </c>
      <c r="D46" s="53" t="str">
        <f>IF('Salary Detail'!P57="l",'Salary Detail'!K57,"")</f>
        <v/>
      </c>
      <c r="E46" s="53" t="str">
        <f>IF('Salary Detail'!P57="a",'Salary Detail'!K57,"")</f>
        <v/>
      </c>
      <c r="F46" s="53" t="str">
        <f>IF('Salary Detail'!P57="t",'Salary Detail'!K57,"")</f>
        <v/>
      </c>
      <c r="G46" s="53" t="str">
        <f>IF('Salary Detail'!P57="p",'Salary Detail'!K57,"")</f>
        <v/>
      </c>
      <c r="H46" s="53" t="str">
        <f>IF('Salary Detail'!P57="r",'Salary Detail'!K57,"")</f>
        <v/>
      </c>
      <c r="I46" s="53" t="str">
        <f>IF('Salary Detail'!P57="s",'Salary Detail'!K57,"")</f>
        <v/>
      </c>
      <c r="J46" s="53" t="str">
        <f>IF('Salary Detail'!P57="w",'Salary Detail'!K57,"")</f>
        <v/>
      </c>
      <c r="K46" s="53" t="str">
        <f>IF('Salary Detail'!P57="G",'Salary Detail'!K57,"")</f>
        <v/>
      </c>
      <c r="L46" s="53" t="str">
        <f>'Salary Detail'!M57</f>
        <v/>
      </c>
      <c r="M46" s="53" t="str">
        <f t="shared" si="0"/>
        <v/>
      </c>
    </row>
    <row r="47" spans="1:13" ht="13" customHeight="1" x14ac:dyDescent="0.25">
      <c r="A47" s="157" t="str">
        <f>IF('Salary Detail'!A58=0,"",'Salary Detail'!A58)</f>
        <v/>
      </c>
      <c r="B47" s="53" t="str">
        <f>IF('Salary Detail'!P58="f",'Salary Detail'!K58,"")</f>
        <v/>
      </c>
      <c r="C47" s="53" t="str">
        <f>IF('Salary Detail'!P58="o",'Salary Detail'!K58,"")</f>
        <v/>
      </c>
      <c r="D47" s="53" t="str">
        <f>IF('Salary Detail'!P58="l",'Salary Detail'!K58,"")</f>
        <v/>
      </c>
      <c r="E47" s="53" t="str">
        <f>IF('Salary Detail'!P58="a",'Salary Detail'!K58,"")</f>
        <v/>
      </c>
      <c r="F47" s="53" t="str">
        <f>IF('Salary Detail'!P58="t",'Salary Detail'!K58,"")</f>
        <v/>
      </c>
      <c r="G47" s="53" t="str">
        <f>IF('Salary Detail'!P58="p",'Salary Detail'!K58,"")</f>
        <v/>
      </c>
      <c r="H47" s="53" t="str">
        <f>IF('Salary Detail'!P58="r",'Salary Detail'!K58,"")</f>
        <v/>
      </c>
      <c r="I47" s="53" t="str">
        <f>IF('Salary Detail'!P58="s",'Salary Detail'!K58,"")</f>
        <v/>
      </c>
      <c r="J47" s="53" t="str">
        <f>IF('Salary Detail'!P58="w",'Salary Detail'!K58,"")</f>
        <v/>
      </c>
      <c r="K47" s="53" t="str">
        <f>IF('Salary Detail'!P58="G",'Salary Detail'!K58,"")</f>
        <v/>
      </c>
      <c r="L47" s="53" t="str">
        <f>'Salary Detail'!M58</f>
        <v/>
      </c>
      <c r="M47" s="53" t="str">
        <f t="shared" si="0"/>
        <v/>
      </c>
    </row>
    <row r="48" spans="1:13" ht="13" customHeight="1" x14ac:dyDescent="0.25">
      <c r="A48" s="157" t="str">
        <f>IF('Salary Detail'!A59=0,"",'Salary Detail'!A59)</f>
        <v/>
      </c>
      <c r="B48" s="53" t="str">
        <f>IF('Salary Detail'!P59="f",'Salary Detail'!K59,"")</f>
        <v/>
      </c>
      <c r="C48" s="53" t="str">
        <f>IF('Salary Detail'!P59="o",'Salary Detail'!K59,"")</f>
        <v/>
      </c>
      <c r="D48" s="53" t="str">
        <f>IF('Salary Detail'!P59="l",'Salary Detail'!K59,"")</f>
        <v/>
      </c>
      <c r="E48" s="53" t="str">
        <f>IF('Salary Detail'!P59="a",'Salary Detail'!K59,"")</f>
        <v/>
      </c>
      <c r="F48" s="53" t="str">
        <f>IF('Salary Detail'!P59="t",'Salary Detail'!K59,"")</f>
        <v/>
      </c>
      <c r="G48" s="53" t="str">
        <f>IF('Salary Detail'!P59="p",'Salary Detail'!K59,"")</f>
        <v/>
      </c>
      <c r="H48" s="53" t="str">
        <f>IF('Salary Detail'!P59="r",'Salary Detail'!K59,"")</f>
        <v/>
      </c>
      <c r="I48" s="53" t="str">
        <f>IF('Salary Detail'!P59="s",'Salary Detail'!K59,"")</f>
        <v/>
      </c>
      <c r="J48" s="53" t="str">
        <f>IF('Salary Detail'!P59="w",'Salary Detail'!K59,"")</f>
        <v/>
      </c>
      <c r="K48" s="53" t="str">
        <f>IF('Salary Detail'!P59="G",'Salary Detail'!K59,"")</f>
        <v/>
      </c>
      <c r="L48" s="53" t="str">
        <f>'Salary Detail'!M59</f>
        <v/>
      </c>
      <c r="M48" s="53" t="str">
        <f t="shared" si="0"/>
        <v/>
      </c>
    </row>
    <row r="49" spans="1:13" ht="13" customHeight="1" x14ac:dyDescent="0.25">
      <c r="A49" s="157" t="str">
        <f>IF('Salary Detail'!A60=0,"",'Salary Detail'!A60)</f>
        <v/>
      </c>
      <c r="B49" s="53" t="str">
        <f>IF('Salary Detail'!P60="f",'Salary Detail'!K60,"")</f>
        <v/>
      </c>
      <c r="C49" s="53" t="str">
        <f>IF('Salary Detail'!P60="o",'Salary Detail'!K60,"")</f>
        <v/>
      </c>
      <c r="D49" s="53" t="str">
        <f>IF('Salary Detail'!P60="l",'Salary Detail'!K60,"")</f>
        <v/>
      </c>
      <c r="E49" s="53" t="str">
        <f>IF('Salary Detail'!P60="a",'Salary Detail'!K60,"")</f>
        <v/>
      </c>
      <c r="F49" s="53" t="str">
        <f>IF('Salary Detail'!P60="t",'Salary Detail'!K60,"")</f>
        <v/>
      </c>
      <c r="G49" s="53" t="str">
        <f>IF('Salary Detail'!P60="p",'Salary Detail'!K60,"")</f>
        <v/>
      </c>
      <c r="H49" s="53" t="str">
        <f>IF('Salary Detail'!P60="r",'Salary Detail'!K60,"")</f>
        <v/>
      </c>
      <c r="I49" s="53" t="str">
        <f>IF('Salary Detail'!P60="s",'Salary Detail'!K60,"")</f>
        <v/>
      </c>
      <c r="J49" s="53" t="str">
        <f>IF('Salary Detail'!P60="w",'Salary Detail'!K60,"")</f>
        <v/>
      </c>
      <c r="K49" s="53" t="str">
        <f>IF('Salary Detail'!P60="G",'Salary Detail'!K60,"")</f>
        <v/>
      </c>
      <c r="L49" s="53" t="str">
        <f>'Salary Detail'!M60</f>
        <v/>
      </c>
      <c r="M49" s="53" t="str">
        <f t="shared" si="0"/>
        <v/>
      </c>
    </row>
    <row r="50" spans="1:13" ht="13" customHeight="1" x14ac:dyDescent="0.25">
      <c r="A50" s="157" t="str">
        <f>IF('Salary Detail'!A61=0,"",'Salary Detail'!A61)</f>
        <v/>
      </c>
      <c r="B50" s="53" t="str">
        <f>IF('Salary Detail'!P61="f",'Salary Detail'!K61,"")</f>
        <v/>
      </c>
      <c r="C50" s="53" t="str">
        <f>IF('Salary Detail'!P61="o",'Salary Detail'!K61,"")</f>
        <v/>
      </c>
      <c r="D50" s="53" t="str">
        <f>IF('Salary Detail'!P61="l",'Salary Detail'!K61,"")</f>
        <v/>
      </c>
      <c r="E50" s="53" t="str">
        <f>IF('Salary Detail'!P61="a",'Salary Detail'!K61,"")</f>
        <v/>
      </c>
      <c r="F50" s="53" t="str">
        <f>IF('Salary Detail'!P61="t",'Salary Detail'!K61,"")</f>
        <v/>
      </c>
      <c r="G50" s="53" t="str">
        <f>IF('Salary Detail'!P61="p",'Salary Detail'!K61,"")</f>
        <v/>
      </c>
      <c r="H50" s="53" t="str">
        <f>IF('Salary Detail'!P61="r",'Salary Detail'!K61,"")</f>
        <v/>
      </c>
      <c r="I50" s="53" t="str">
        <f>IF('Salary Detail'!P61="s",'Salary Detail'!K61,"")</f>
        <v/>
      </c>
      <c r="J50" s="53" t="str">
        <f>IF('Salary Detail'!P61="w",'Salary Detail'!K61,"")</f>
        <v/>
      </c>
      <c r="K50" s="53" t="str">
        <f>IF('Salary Detail'!P61="G",'Salary Detail'!K61,"")</f>
        <v/>
      </c>
      <c r="L50" s="53" t="str">
        <f>'Salary Detail'!M61</f>
        <v/>
      </c>
      <c r="M50" s="53" t="str">
        <f t="shared" si="0"/>
        <v/>
      </c>
    </row>
    <row r="51" spans="1:13" ht="13" customHeight="1" x14ac:dyDescent="0.25">
      <c r="A51" s="157" t="str">
        <f>IF('Salary Detail'!A62=0,"",'Salary Detail'!A62)</f>
        <v/>
      </c>
      <c r="B51" s="53" t="str">
        <f>IF('Salary Detail'!P62="f",'Salary Detail'!K62,"")</f>
        <v/>
      </c>
      <c r="C51" s="53" t="str">
        <f>IF('Salary Detail'!P62="o",'Salary Detail'!K62,"")</f>
        <v/>
      </c>
      <c r="D51" s="53" t="str">
        <f>IF('Salary Detail'!P62="l",'Salary Detail'!K62,"")</f>
        <v/>
      </c>
      <c r="E51" s="53" t="str">
        <f>IF('Salary Detail'!P62="a",'Salary Detail'!K62,"")</f>
        <v/>
      </c>
      <c r="F51" s="53" t="str">
        <f>IF('Salary Detail'!P62="t",'Salary Detail'!K62,"")</f>
        <v/>
      </c>
      <c r="G51" s="53" t="str">
        <f>IF('Salary Detail'!P62="p",'Salary Detail'!K62,"")</f>
        <v/>
      </c>
      <c r="H51" s="53" t="str">
        <f>IF('Salary Detail'!P62="r",'Salary Detail'!K62,"")</f>
        <v/>
      </c>
      <c r="I51" s="53" t="str">
        <f>IF('Salary Detail'!P62="s",'Salary Detail'!K62,"")</f>
        <v/>
      </c>
      <c r="J51" s="53" t="str">
        <f>IF('Salary Detail'!P62="w",'Salary Detail'!K62,"")</f>
        <v/>
      </c>
      <c r="K51" s="53" t="str">
        <f>IF('Salary Detail'!P62="G",'Salary Detail'!K62,"")</f>
        <v/>
      </c>
      <c r="L51" s="53" t="str">
        <f>'Salary Detail'!M62</f>
        <v/>
      </c>
      <c r="M51" s="53" t="str">
        <f t="shared" si="0"/>
        <v/>
      </c>
    </row>
    <row r="52" spans="1:13" ht="13" customHeight="1" thickBot="1" x14ac:dyDescent="0.3">
      <c r="A52" s="158" t="str">
        <f>IF('Salary Detail'!A63=0,"",'Salary Detail'!A63)</f>
        <v/>
      </c>
      <c r="B52" s="53" t="str">
        <f>IF('Salary Detail'!P63="f",'Salary Detail'!K63,"")</f>
        <v/>
      </c>
      <c r="C52" s="53" t="str">
        <f>IF('Salary Detail'!P63="o",'Salary Detail'!K63,"")</f>
        <v/>
      </c>
      <c r="D52" s="53" t="str">
        <f>IF('Salary Detail'!P63="l",'Salary Detail'!K63,"")</f>
        <v/>
      </c>
      <c r="E52" s="152" t="str">
        <f>IF('Salary Detail'!P63="a",'Salary Detail'!K63,"")</f>
        <v/>
      </c>
      <c r="F52" s="152" t="str">
        <f>IF('Salary Detail'!P63="t",'Salary Detail'!K63,"")</f>
        <v/>
      </c>
      <c r="G52" s="152" t="str">
        <f>IF('Salary Detail'!P63="p",'Salary Detail'!K63,"")</f>
        <v/>
      </c>
      <c r="H52" s="152" t="str">
        <f>IF('Salary Detail'!P63="r",'Salary Detail'!K63,"")</f>
        <v/>
      </c>
      <c r="I52" s="152" t="str">
        <f>IF('Salary Detail'!P63="s",'Salary Detail'!K63,"")</f>
        <v/>
      </c>
      <c r="J52" s="152" t="str">
        <f>IF('Salary Detail'!P63="w",'Salary Detail'!K63,"")</f>
        <v/>
      </c>
      <c r="K52" s="152" t="str">
        <f>IF('Salary Detail'!P63="G",'Salary Detail'!K63,"")</f>
        <v/>
      </c>
      <c r="L52" s="152" t="str">
        <f>'Salary Detail'!M63</f>
        <v/>
      </c>
      <c r="M52" s="152" t="str">
        <f t="shared" si="0"/>
        <v/>
      </c>
    </row>
    <row r="53" spans="1:13" ht="13" customHeight="1" x14ac:dyDescent="0.25">
      <c r="A53" s="75" t="s">
        <v>72</v>
      </c>
      <c r="B53" s="73" t="str">
        <f t="shared" ref="B53:K53" si="1">IF(SUM(B13:B52)=0,"",SUM(B13:B52))</f>
        <v/>
      </c>
      <c r="C53" s="73" t="str">
        <f t="shared" si="1"/>
        <v/>
      </c>
      <c r="D53" s="73" t="str">
        <f t="shared" si="1"/>
        <v/>
      </c>
      <c r="E53" s="73" t="str">
        <f t="shared" si="1"/>
        <v/>
      </c>
      <c r="F53" s="73" t="str">
        <f t="shared" si="1"/>
        <v/>
      </c>
      <c r="G53" s="73" t="str">
        <f t="shared" si="1"/>
        <v/>
      </c>
      <c r="H53" s="73" t="str">
        <f t="shared" si="1"/>
        <v/>
      </c>
      <c r="I53" s="73" t="str">
        <f t="shared" si="1"/>
        <v/>
      </c>
      <c r="J53" s="73" t="str">
        <f t="shared" si="1"/>
        <v/>
      </c>
      <c r="K53" s="73" t="str">
        <f t="shared" si="1"/>
        <v/>
      </c>
      <c r="L53" s="375"/>
      <c r="M53" s="73" t="str">
        <f>IF(SUM(M13:M52)=0,"",SUM(M13:M52))</f>
        <v/>
      </c>
    </row>
    <row r="54" spans="1:13" ht="13" customHeight="1" x14ac:dyDescent="0.3">
      <c r="A54" s="57" t="s">
        <v>258</v>
      </c>
      <c r="B54" s="94">
        <f>Year1Weight*VLOOKUP("F",FringeTable,2,FALSE)+Year2Weight*VLOOKUP("F",FringeTable,3,FALSE)+Year3Weight*VLOOKUP("F",FringeTable,4,FALSE)</f>
        <v>0.3</v>
      </c>
      <c r="C54" s="94">
        <f>Year1Weight*VLOOKUP("A",FringeTable,2,FALSE)+Year2Weight*VLOOKUP("A",FringeTable,3,FALSE)+Year3Weight*VLOOKUP("A",FringeTable,4,FALSE)</f>
        <v>0.38</v>
      </c>
      <c r="D54" s="94">
        <f>Year1Weight*VLOOKUP("A",FringeTable,2,FALSE)+Year2Weight*VLOOKUP("A",FringeTable,3,FALSE)+Year3Weight*VLOOKUP("A",FringeTable,4,FALSE)</f>
        <v>0.38</v>
      </c>
      <c r="E54" s="94">
        <f>Year1Weight*VLOOKUP("A",FringeTable,2,FALSE)+Year2Weight*VLOOKUP("A",FringeTable,3,FALSE)+Year3Weight*VLOOKUP("A",FringeTable,4,FALSE)</f>
        <v>0.38</v>
      </c>
      <c r="F54" s="94">
        <f>VLOOKUP("t",[0]!fringes,2,FALSE)</f>
        <v>0.24</v>
      </c>
      <c r="G54" s="94">
        <f>Year1Weight*VLOOKUP("P",FringeTable,2,FALSE)+Year2Weight*VLOOKUP("P",FringeTable,3,FALSE)+Year3Weight*VLOOKUP("P",FringeTable,4,FALSE)</f>
        <v>0.26</v>
      </c>
      <c r="H54" s="94">
        <f>VLOOKUP("r",[0]!fringes,2,FALSE)</f>
        <v>8.1000000000000003E-2</v>
      </c>
      <c r="I54" s="94">
        <f>VLOOKUP("s",[0]!fringes,2,FALSE)</f>
        <v>0.01</v>
      </c>
      <c r="J54" s="94">
        <f>VLOOKUP("w",[0]!fringes,2,FALSE)</f>
        <v>0.01</v>
      </c>
      <c r="K54" s="369" t="s">
        <v>261</v>
      </c>
      <c r="L54" s="51" t="str">
        <f>IF(SUM(B53:K53)=0,"",SUM(B53:K53))</f>
        <v/>
      </c>
      <c r="M54" s="372" t="s">
        <v>22</v>
      </c>
    </row>
    <row r="55" spans="1:13" ht="13" customHeight="1" x14ac:dyDescent="0.3">
      <c r="A55" s="49" t="s">
        <v>73</v>
      </c>
      <c r="B55" s="51" t="str">
        <f>IF(SUMIF('Salary Detail'!$P$24:$P$63,"f",'Salary Detail'!$M$24:$M$63)=0,"",SUMIF('Salary Detail'!$P$24:$P$63,"f",'Salary Detail'!$M$24:$M$63))</f>
        <v/>
      </c>
      <c r="C55" s="51" t="str">
        <f>IF(SUMIF('Salary Detail'!$P$24:$P$63,"O",'Salary Detail'!$M$24:$M$63)=0,"",SUMIF('Salary Detail'!$P$24:$P$63,"O",'Salary Detail'!$M$24:$M$63))</f>
        <v/>
      </c>
      <c r="D55" s="51" t="str">
        <f>IF(SUMIF('Salary Detail'!$P$24:$P$63,"L",'Salary Detail'!$M$24:$M$63)=0,"",SUMIF('Salary Detail'!$P$24:$P$63,"L",'Salary Detail'!$M$24:$M$63))</f>
        <v/>
      </c>
      <c r="E55" s="51" t="str">
        <f>IF(SUMIF('Salary Detail'!$P$24:$P$63,"a",'Salary Detail'!$M$24:$M$63)=0,"",SUMIF('Salary Detail'!$P$24:$P$63,"a",'Salary Detail'!$M$24:$M$63))</f>
        <v/>
      </c>
      <c r="F55" s="51" t="str">
        <f>IF(SUMIF('Salary Detail'!$P$24:$P$63,"t",'Salary Detail'!$M$24:$M$63)=0,"",SUMIF('Salary Detail'!$P$24:$P$63,"t",'Salary Detail'!$M$24:$M$63))</f>
        <v/>
      </c>
      <c r="G55" s="51" t="str">
        <f>IF(SUMIF('Salary Detail'!$P$24:$P$63,"p",'Salary Detail'!$M$24:$M$63)=0,"",SUMIF('Salary Detail'!$P$24:$P$63,"p",'Salary Detail'!$M$24:$M$63))</f>
        <v/>
      </c>
      <c r="H55" s="51" t="str">
        <f>IF(SUMIF('Salary Detail'!$P$24:$P$63,"r",'Salary Detail'!$M$24:$M$63)=0,"",SUMIF('Salary Detail'!$P$24:$P$63,"r",'Salary Detail'!$M$24:$M$63))</f>
        <v/>
      </c>
      <c r="I55" s="51" t="str">
        <f>IF(SUMIF('Salary Detail'!$P$24:$P$63,"s",'Salary Detail'!$M$24:$M$63)=0,"",SUMIF('Salary Detail'!$P$24:$P$63,"s",'Salary Detail'!$M$24:$M$63))</f>
        <v/>
      </c>
      <c r="J55" s="51" t="str">
        <f>IF(SUMIF('Salary Detail'!$P$24:$P$63,"w",'Salary Detail'!$M$24:$M$63)=0,"",SUMIF('Salary Detail'!$P$24:$P$63,"w",'Salary Detail'!$M$24:$M$63))</f>
        <v/>
      </c>
      <c r="K55" s="51" t="str">
        <f>IF(SUMIF('Salary Detail'!$P$24:$P$63,"g",'Salary Detail'!$M$24:$M$63)=0,"",SUMIF('Salary Detail'!$P$24:$P$63,"g",'Salary Detail'!$M$24:$M$63))</f>
        <v/>
      </c>
      <c r="L55" s="376" t="str">
        <f>IF(SUM(B55:K55)=0,"",SUM(B55:K55))</f>
        <v/>
      </c>
      <c r="M55" s="373" t="s">
        <v>81</v>
      </c>
    </row>
    <row r="56" spans="1:13" ht="13" customHeight="1" thickBot="1" x14ac:dyDescent="0.35">
      <c r="A56" s="153" t="s">
        <v>74</v>
      </c>
      <c r="B56" s="154" t="str">
        <f t="shared" ref="B56:K56" si="2">IFERROR(B53+B55,"")</f>
        <v/>
      </c>
      <c r="C56" s="154" t="str">
        <f t="shared" si="2"/>
        <v/>
      </c>
      <c r="D56" s="154" t="str">
        <f t="shared" si="2"/>
        <v/>
      </c>
      <c r="E56" s="154" t="str">
        <f t="shared" si="2"/>
        <v/>
      </c>
      <c r="F56" s="154" t="str">
        <f t="shared" si="2"/>
        <v/>
      </c>
      <c r="G56" s="154" t="str">
        <f t="shared" si="2"/>
        <v/>
      </c>
      <c r="H56" s="154" t="str">
        <f t="shared" si="2"/>
        <v/>
      </c>
      <c r="I56" s="154" t="str">
        <f t="shared" si="2"/>
        <v/>
      </c>
      <c r="J56" s="154" t="str">
        <f t="shared" si="2"/>
        <v/>
      </c>
      <c r="K56" s="154" t="str">
        <f t="shared" si="2"/>
        <v/>
      </c>
      <c r="L56" s="371" t="str">
        <f>IF(SUM(B56:K56)=0,"",SUM(B56:K56))</f>
        <v/>
      </c>
      <c r="M56" s="374" t="s">
        <v>263</v>
      </c>
    </row>
    <row r="57" spans="1:13" ht="13" customHeight="1" x14ac:dyDescent="0.3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1"/>
    </row>
    <row r="58" spans="1:13" s="384" customFormat="1" ht="13" customHeight="1" x14ac:dyDescent="0.3">
      <c r="A58" s="382"/>
      <c r="B58" s="72"/>
      <c r="C58" s="72"/>
      <c r="D58" s="72"/>
      <c r="E58" s="72"/>
      <c r="F58" s="72"/>
      <c r="G58" s="383"/>
      <c r="H58" s="72"/>
      <c r="I58" s="72"/>
      <c r="J58" s="72"/>
      <c r="K58" s="72"/>
      <c r="L58" s="72"/>
    </row>
    <row r="59" spans="1:13" s="384" customFormat="1" ht="13" customHeight="1" x14ac:dyDescent="0.3">
      <c r="A59" s="972" t="s">
        <v>278</v>
      </c>
      <c r="B59" s="971"/>
      <c r="C59" s="971"/>
      <c r="D59" s="971"/>
      <c r="E59" s="971"/>
      <c r="F59" s="971"/>
      <c r="G59" s="971"/>
      <c r="H59" s="971"/>
      <c r="I59" s="971"/>
      <c r="J59" s="971"/>
      <c r="K59" s="971"/>
      <c r="L59" s="971"/>
      <c r="M59" s="971"/>
    </row>
    <row r="60" spans="1:13" ht="13" customHeight="1" x14ac:dyDescent="0.3">
      <c r="A60" s="2" t="s">
        <v>65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</row>
    <row r="61" spans="1:13" ht="13" customHeight="1" x14ac:dyDescent="0.3">
      <c r="A61" s="23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</row>
    <row r="62" spans="1:13" ht="13" customHeight="1" x14ac:dyDescent="0.25">
      <c r="E62" s="77" t="s">
        <v>138</v>
      </c>
      <c r="F62" s="967" t="str">
        <f>IF('Salary Detail'!E5=0,"",'Salary Detail'!E5)</f>
        <v/>
      </c>
      <c r="G62" s="943"/>
      <c r="H62" s="943"/>
      <c r="I62" s="943"/>
      <c r="J62" s="159"/>
      <c r="K62" s="159"/>
      <c r="L62" s="159"/>
    </row>
    <row r="63" spans="1:13" ht="13" customHeight="1" x14ac:dyDescent="0.25">
      <c r="E63" s="77" t="s">
        <v>8</v>
      </c>
      <c r="F63" s="967" t="str">
        <f>IF('Salary Detail'!E6=0,"",'Salary Detail'!E6)</f>
        <v/>
      </c>
      <c r="G63" s="943"/>
      <c r="H63" s="943"/>
      <c r="I63" s="943"/>
      <c r="J63" s="159"/>
      <c r="K63" s="159"/>
      <c r="L63" s="159"/>
      <c r="M63" s="78"/>
    </row>
    <row r="64" spans="1:13" ht="13" customHeight="1" x14ac:dyDescent="0.25">
      <c r="E64" s="77" t="s">
        <v>122</v>
      </c>
      <c r="F64" s="967" t="str">
        <f>IF('Salary Detail'!E7=0,"",'Salary Detail'!E7)</f>
        <v/>
      </c>
      <c r="G64" s="943"/>
      <c r="H64" s="943"/>
      <c r="I64" s="943"/>
      <c r="J64" s="147"/>
      <c r="K64" s="147"/>
      <c r="L64" s="147"/>
      <c r="M64" s="78"/>
    </row>
    <row r="65" spans="1:13" ht="13" customHeight="1" x14ac:dyDescent="0.25">
      <c r="E65" s="77" t="s">
        <v>10</v>
      </c>
      <c r="F65" s="967" t="str">
        <f>IF('Salary Detail'!E8=0,"",'Salary Detail'!E8)</f>
        <v/>
      </c>
      <c r="G65" s="943"/>
      <c r="H65" s="943"/>
      <c r="I65" s="943"/>
      <c r="J65" s="147"/>
      <c r="K65" s="147"/>
      <c r="L65" s="147"/>
    </row>
    <row r="66" spans="1:13" ht="13" customHeight="1" x14ac:dyDescent="0.25">
      <c r="A66" s="77"/>
      <c r="B66" s="62"/>
      <c r="C66" s="62"/>
      <c r="D66" s="62"/>
      <c r="G66" s="77"/>
      <c r="H66" s="7"/>
    </row>
    <row r="67" spans="1:13" ht="13" customHeight="1" x14ac:dyDescent="0.3">
      <c r="A67" s="381" t="s">
        <v>277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5"/>
    </row>
    <row r="68" spans="1:13" ht="13" customHeight="1" x14ac:dyDescent="0.25">
      <c r="A68" s="49"/>
      <c r="B68" s="50" t="s">
        <v>67</v>
      </c>
      <c r="C68" s="56" t="s">
        <v>274</v>
      </c>
      <c r="D68" s="56" t="s">
        <v>275</v>
      </c>
      <c r="E68" s="56" t="s">
        <v>273</v>
      </c>
      <c r="F68" s="50" t="s">
        <v>69</v>
      </c>
      <c r="G68" s="56" t="s">
        <v>116</v>
      </c>
      <c r="H68" s="70" t="s">
        <v>135</v>
      </c>
      <c r="I68" s="6" t="s">
        <v>70</v>
      </c>
      <c r="J68" s="50" t="s">
        <v>71</v>
      </c>
      <c r="K68" s="56" t="s">
        <v>253</v>
      </c>
      <c r="L68" s="56" t="s">
        <v>23</v>
      </c>
      <c r="M68" s="50" t="s">
        <v>46</v>
      </c>
    </row>
    <row r="69" spans="1:13" ht="13" customHeight="1" x14ac:dyDescent="0.25">
      <c r="A69" s="156" t="str">
        <f>'Salary Detail'!A79</f>
        <v/>
      </c>
      <c r="B69" s="53" t="str">
        <f>IF('Salary Detail'!P24="f",'Salary Detail'!C79,"")</f>
        <v/>
      </c>
      <c r="C69" s="53" t="str">
        <f>IF('Salary Detail'!P24="o",'Salary Detail'!C79,"")</f>
        <v/>
      </c>
      <c r="D69" s="53" t="str">
        <f>IF('Salary Detail'!P24="l",'Salary Detail'!C79,"")</f>
        <v/>
      </c>
      <c r="E69" s="52" t="str">
        <f>IF('Salary Detail'!P24="a",'Salary Detail'!C79,"")</f>
        <v/>
      </c>
      <c r="F69" s="52" t="str">
        <f>IF('Salary Detail'!P24="t",'Salary Detail'!C79,"")</f>
        <v/>
      </c>
      <c r="G69" s="52" t="str">
        <f>IF('Salary Detail'!P24="p",'Salary Detail'!C79,"")</f>
        <v/>
      </c>
      <c r="H69" s="52" t="str">
        <f>IF('Salary Detail'!P24="r",'Salary Detail'!C79,"")</f>
        <v/>
      </c>
      <c r="I69" s="52" t="str">
        <f>IF('Salary Detail'!P24="s",'Salary Detail'!C79,"")</f>
        <v/>
      </c>
      <c r="J69" s="52" t="str">
        <f>IF('Salary Detail'!P24="w",'Salary Detail'!C79,"")</f>
        <v/>
      </c>
      <c r="K69" s="52" t="str">
        <f>IF('Salary Detail'!P24="G",'Salary Detail'!C79,"")</f>
        <v/>
      </c>
      <c r="L69" s="52" t="str">
        <f>'Salary Detail'!E79</f>
        <v/>
      </c>
      <c r="M69" s="52" t="str">
        <f t="shared" ref="M69:M108" si="3">IF(SUM(B69:L69)=0,"",SUM(B69:L69))</f>
        <v/>
      </c>
    </row>
    <row r="70" spans="1:13" ht="13" customHeight="1" x14ac:dyDescent="0.25">
      <c r="A70" s="157" t="str">
        <f>'Salary Detail'!A80</f>
        <v/>
      </c>
      <c r="B70" s="53" t="str">
        <f>IF('Salary Detail'!P25="f",'Salary Detail'!C80,"")</f>
        <v/>
      </c>
      <c r="C70" s="53" t="str">
        <f>IF('Salary Detail'!P25="o",'Salary Detail'!C80,"")</f>
        <v/>
      </c>
      <c r="D70" s="53" t="str">
        <f>IF('Salary Detail'!P25="l",'Salary Detail'!C80,"")</f>
        <v/>
      </c>
      <c r="E70" s="53" t="str">
        <f>IF('Salary Detail'!P25="a",'Salary Detail'!C80,"")</f>
        <v/>
      </c>
      <c r="F70" s="53" t="str">
        <f>IF('Salary Detail'!P25="t",'Salary Detail'!C80,"")</f>
        <v/>
      </c>
      <c r="G70" s="53" t="str">
        <f>IF('Salary Detail'!P25="p",'Salary Detail'!C80,"")</f>
        <v/>
      </c>
      <c r="H70" s="53" t="str">
        <f>IF('Salary Detail'!P25="r",'Salary Detail'!C80,"")</f>
        <v/>
      </c>
      <c r="I70" s="53" t="str">
        <f>IF('Salary Detail'!P25="s",'Salary Detail'!C80,"")</f>
        <v/>
      </c>
      <c r="J70" s="53" t="str">
        <f>IF('Salary Detail'!P25="w",'Salary Detail'!C80,"")</f>
        <v/>
      </c>
      <c r="K70" s="53" t="str">
        <f>IF('Salary Detail'!P25="G",'Salary Detail'!C80,"")</f>
        <v/>
      </c>
      <c r="L70" s="53" t="str">
        <f>'Salary Detail'!E80</f>
        <v/>
      </c>
      <c r="M70" s="53" t="str">
        <f t="shared" si="3"/>
        <v/>
      </c>
    </row>
    <row r="71" spans="1:13" ht="13" customHeight="1" x14ac:dyDescent="0.25">
      <c r="A71" s="157" t="str">
        <f>'Salary Detail'!A81</f>
        <v/>
      </c>
      <c r="B71" s="53" t="str">
        <f>IF('Salary Detail'!P26="f",'Salary Detail'!C81,"")</f>
        <v/>
      </c>
      <c r="C71" s="53" t="str">
        <f>IF('Salary Detail'!P26="o",'Salary Detail'!C81,"")</f>
        <v/>
      </c>
      <c r="D71" s="53" t="str">
        <f>IF('Salary Detail'!P26="l",'Salary Detail'!C81,"")</f>
        <v/>
      </c>
      <c r="E71" s="53" t="str">
        <f>IF('Salary Detail'!P26="a",'Salary Detail'!C81,"")</f>
        <v/>
      </c>
      <c r="F71" s="53" t="str">
        <f>IF('Salary Detail'!P26="t",'Salary Detail'!C81,"")</f>
        <v/>
      </c>
      <c r="G71" s="53" t="str">
        <f>IF('Salary Detail'!P26="p",'Salary Detail'!C81,"")</f>
        <v/>
      </c>
      <c r="H71" s="53" t="str">
        <f>IF('Salary Detail'!P26="r",'Salary Detail'!C81,"")</f>
        <v/>
      </c>
      <c r="I71" s="53" t="str">
        <f>IF('Salary Detail'!P26="s",'Salary Detail'!C81,"")</f>
        <v/>
      </c>
      <c r="J71" s="53" t="str">
        <f>IF('Salary Detail'!P26="w",'Salary Detail'!C81,"")</f>
        <v/>
      </c>
      <c r="K71" s="53" t="str">
        <f>IF('Salary Detail'!P26="G",'Salary Detail'!C81,"")</f>
        <v/>
      </c>
      <c r="L71" s="53" t="str">
        <f>'Salary Detail'!E81</f>
        <v/>
      </c>
      <c r="M71" s="53" t="str">
        <f t="shared" si="3"/>
        <v/>
      </c>
    </row>
    <row r="72" spans="1:13" ht="13" customHeight="1" x14ac:dyDescent="0.25">
      <c r="A72" s="157" t="str">
        <f>'Salary Detail'!A82</f>
        <v/>
      </c>
      <c r="B72" s="53" t="str">
        <f>IF('Salary Detail'!P27="f",'Salary Detail'!C82,"")</f>
        <v/>
      </c>
      <c r="C72" s="53" t="str">
        <f>IF('Salary Detail'!P27="o",'Salary Detail'!C82,"")</f>
        <v/>
      </c>
      <c r="D72" s="53" t="str">
        <f>IF('Salary Detail'!P27="l",'Salary Detail'!C82,"")</f>
        <v/>
      </c>
      <c r="E72" s="53" t="str">
        <f>IF('Salary Detail'!P27="a",'Salary Detail'!C82,"")</f>
        <v/>
      </c>
      <c r="F72" s="53" t="str">
        <f>IF('Salary Detail'!P27="t",'Salary Detail'!C82,"")</f>
        <v/>
      </c>
      <c r="G72" s="53" t="str">
        <f>IF('Salary Detail'!P27="p",'Salary Detail'!C82,"")</f>
        <v/>
      </c>
      <c r="H72" s="53" t="str">
        <f>IF('Salary Detail'!P27="r",'Salary Detail'!C82,"")</f>
        <v/>
      </c>
      <c r="I72" s="53" t="str">
        <f>IF('Salary Detail'!P27="s",'Salary Detail'!C82,"")</f>
        <v/>
      </c>
      <c r="J72" s="53" t="str">
        <f>IF('Salary Detail'!P27="w",'Salary Detail'!C82,"")</f>
        <v/>
      </c>
      <c r="K72" s="53" t="str">
        <f>IF('Salary Detail'!P27="G",'Salary Detail'!C82,"")</f>
        <v/>
      </c>
      <c r="L72" s="53" t="str">
        <f>'Salary Detail'!E82</f>
        <v/>
      </c>
      <c r="M72" s="53" t="str">
        <f t="shared" si="3"/>
        <v/>
      </c>
    </row>
    <row r="73" spans="1:13" ht="13" customHeight="1" x14ac:dyDescent="0.25">
      <c r="A73" s="157" t="str">
        <f>'Salary Detail'!A83</f>
        <v/>
      </c>
      <c r="B73" s="53" t="str">
        <f>IF('Salary Detail'!P28="f",'Salary Detail'!C83,"")</f>
        <v/>
      </c>
      <c r="C73" s="53" t="str">
        <f>IF('Salary Detail'!P28="o",'Salary Detail'!C83,"")</f>
        <v/>
      </c>
      <c r="D73" s="53" t="str">
        <f>IF('Salary Detail'!P28="l",'Salary Detail'!C83,"")</f>
        <v/>
      </c>
      <c r="E73" s="53" t="str">
        <f>IF('Salary Detail'!P28="a",'Salary Detail'!C83,"")</f>
        <v/>
      </c>
      <c r="F73" s="53" t="str">
        <f>IF('Salary Detail'!P28="t",'Salary Detail'!C83,"")</f>
        <v/>
      </c>
      <c r="G73" s="53" t="str">
        <f>IF('Salary Detail'!P28="p",'Salary Detail'!C83,"")</f>
        <v/>
      </c>
      <c r="H73" s="53" t="str">
        <f>IF('Salary Detail'!P28="r",'Salary Detail'!C83,"")</f>
        <v/>
      </c>
      <c r="I73" s="53" t="str">
        <f>IF('Salary Detail'!P28="s",'Salary Detail'!C83,"")</f>
        <v/>
      </c>
      <c r="J73" s="53" t="str">
        <f>IF('Salary Detail'!P28="w",'Salary Detail'!C83,"")</f>
        <v/>
      </c>
      <c r="K73" s="53" t="str">
        <f>IF('Salary Detail'!P28="G",'Salary Detail'!C83,"")</f>
        <v/>
      </c>
      <c r="L73" s="53" t="str">
        <f>'Salary Detail'!E83</f>
        <v/>
      </c>
      <c r="M73" s="53" t="str">
        <f t="shared" si="3"/>
        <v/>
      </c>
    </row>
    <row r="74" spans="1:13" ht="13" customHeight="1" x14ac:dyDescent="0.25">
      <c r="A74" s="157" t="str">
        <f>'Salary Detail'!A84</f>
        <v/>
      </c>
      <c r="B74" s="53" t="str">
        <f>IF('Salary Detail'!P29="f",'Salary Detail'!C84,"")</f>
        <v/>
      </c>
      <c r="C74" s="53" t="str">
        <f>IF('Salary Detail'!P29="o",'Salary Detail'!C84,"")</f>
        <v/>
      </c>
      <c r="D74" s="53" t="str">
        <f>IF('Salary Detail'!P29="l",'Salary Detail'!C84,"")</f>
        <v/>
      </c>
      <c r="E74" s="53" t="str">
        <f>IF('Salary Detail'!P29="a",'Salary Detail'!C84,"")</f>
        <v/>
      </c>
      <c r="F74" s="53" t="str">
        <f>IF('Salary Detail'!P29="t",'Salary Detail'!C84,"")</f>
        <v/>
      </c>
      <c r="G74" s="53" t="str">
        <f>IF('Salary Detail'!P29="p",'Salary Detail'!C84,"")</f>
        <v/>
      </c>
      <c r="H74" s="53" t="str">
        <f>IF('Salary Detail'!P29="r",'Salary Detail'!C84,"")</f>
        <v/>
      </c>
      <c r="I74" s="53" t="str">
        <f>IF('Salary Detail'!P29="s",'Salary Detail'!C84,"")</f>
        <v/>
      </c>
      <c r="J74" s="53" t="str">
        <f>IF('Salary Detail'!P29="w",'Salary Detail'!C84,"")</f>
        <v/>
      </c>
      <c r="K74" s="53" t="str">
        <f>IF('Salary Detail'!P29="G",'Salary Detail'!C84,"")</f>
        <v/>
      </c>
      <c r="L74" s="53" t="str">
        <f>'Salary Detail'!E84</f>
        <v/>
      </c>
      <c r="M74" s="53" t="str">
        <f t="shared" si="3"/>
        <v/>
      </c>
    </row>
    <row r="75" spans="1:13" ht="13" customHeight="1" x14ac:dyDescent="0.25">
      <c r="A75" s="157" t="str">
        <f>'Salary Detail'!A85</f>
        <v/>
      </c>
      <c r="B75" s="53" t="str">
        <f>IF('Salary Detail'!P30="f",'Salary Detail'!C85,"")</f>
        <v/>
      </c>
      <c r="C75" s="53" t="str">
        <f>IF('Salary Detail'!P30="o",'Salary Detail'!C85,"")</f>
        <v/>
      </c>
      <c r="D75" s="53" t="str">
        <f>IF('Salary Detail'!P30="l",'Salary Detail'!C85,"")</f>
        <v/>
      </c>
      <c r="E75" s="53" t="str">
        <f>IF('Salary Detail'!P30="a",'Salary Detail'!C85,"")</f>
        <v/>
      </c>
      <c r="F75" s="53" t="str">
        <f>IF('Salary Detail'!P30="t",'Salary Detail'!C85,"")</f>
        <v/>
      </c>
      <c r="G75" s="53" t="str">
        <f>IF('Salary Detail'!P30="p",'Salary Detail'!C85,"")</f>
        <v/>
      </c>
      <c r="H75" s="53" t="str">
        <f>IF('Salary Detail'!P30="r",'Salary Detail'!C85,"")</f>
        <v/>
      </c>
      <c r="I75" s="53" t="str">
        <f>IF('Salary Detail'!P30="s",'Salary Detail'!C85,"")</f>
        <v/>
      </c>
      <c r="J75" s="53" t="str">
        <f>IF('Salary Detail'!P30="w",'Salary Detail'!C85,"")</f>
        <v/>
      </c>
      <c r="K75" s="53" t="str">
        <f>IF('Salary Detail'!P30="G",'Salary Detail'!C85,"")</f>
        <v/>
      </c>
      <c r="L75" s="53" t="str">
        <f>'Salary Detail'!E85</f>
        <v/>
      </c>
      <c r="M75" s="53" t="str">
        <f t="shared" si="3"/>
        <v/>
      </c>
    </row>
    <row r="76" spans="1:13" ht="13" customHeight="1" x14ac:dyDescent="0.25">
      <c r="A76" s="157" t="str">
        <f>'Salary Detail'!A86</f>
        <v/>
      </c>
      <c r="B76" s="53" t="str">
        <f>IF('Salary Detail'!P31="f",'Salary Detail'!C86,"")</f>
        <v/>
      </c>
      <c r="C76" s="53" t="str">
        <f>IF('Salary Detail'!P31="o",'Salary Detail'!C86,"")</f>
        <v/>
      </c>
      <c r="D76" s="53" t="str">
        <f>IF('Salary Detail'!P31="l",'Salary Detail'!C86,"")</f>
        <v/>
      </c>
      <c r="E76" s="53" t="str">
        <f>IF('Salary Detail'!P31="a",'Salary Detail'!C86,"")</f>
        <v/>
      </c>
      <c r="F76" s="53" t="str">
        <f>IF('Salary Detail'!P31="t",'Salary Detail'!C86,"")</f>
        <v/>
      </c>
      <c r="G76" s="53" t="str">
        <f>IF('Salary Detail'!P31="p",'Salary Detail'!C86,"")</f>
        <v/>
      </c>
      <c r="H76" s="53" t="str">
        <f>IF('Salary Detail'!P31="r",'Salary Detail'!C86,"")</f>
        <v/>
      </c>
      <c r="I76" s="53" t="str">
        <f>IF('Salary Detail'!P31="s",'Salary Detail'!C86,"")</f>
        <v/>
      </c>
      <c r="J76" s="53" t="str">
        <f>IF('Salary Detail'!P31="w",'Salary Detail'!C86,"")</f>
        <v/>
      </c>
      <c r="K76" s="53" t="str">
        <f>IF('Salary Detail'!P31="G",'Salary Detail'!C86,"")</f>
        <v/>
      </c>
      <c r="L76" s="53" t="str">
        <f>'Salary Detail'!E86</f>
        <v/>
      </c>
      <c r="M76" s="53" t="str">
        <f t="shared" si="3"/>
        <v/>
      </c>
    </row>
    <row r="77" spans="1:13" ht="13" customHeight="1" x14ac:dyDescent="0.25">
      <c r="A77" s="157" t="str">
        <f>'Salary Detail'!A87</f>
        <v/>
      </c>
      <c r="B77" s="53" t="str">
        <f>IF('Salary Detail'!P32="f",'Salary Detail'!C87,"")</f>
        <v/>
      </c>
      <c r="C77" s="53" t="str">
        <f>IF('Salary Detail'!P32="o",'Salary Detail'!C87,"")</f>
        <v/>
      </c>
      <c r="D77" s="53" t="str">
        <f>IF('Salary Detail'!P32="l",'Salary Detail'!C87,"")</f>
        <v/>
      </c>
      <c r="E77" s="53" t="str">
        <f>IF('Salary Detail'!P32="a",'Salary Detail'!C87,"")</f>
        <v/>
      </c>
      <c r="F77" s="53" t="str">
        <f>IF('Salary Detail'!P32="t",'Salary Detail'!C87,"")</f>
        <v/>
      </c>
      <c r="G77" s="53" t="str">
        <f>IF('Salary Detail'!P32="p",'Salary Detail'!C87,"")</f>
        <v/>
      </c>
      <c r="H77" s="53" t="str">
        <f>IF('Salary Detail'!P32="r",'Salary Detail'!C87,"")</f>
        <v/>
      </c>
      <c r="I77" s="53" t="str">
        <f>IF('Salary Detail'!P32="s",'Salary Detail'!C87,"")</f>
        <v/>
      </c>
      <c r="J77" s="53" t="str">
        <f>IF('Salary Detail'!P32="w",'Salary Detail'!C87,"")</f>
        <v/>
      </c>
      <c r="K77" s="53" t="str">
        <f>IF('Salary Detail'!P32="G",'Salary Detail'!C87,"")</f>
        <v/>
      </c>
      <c r="L77" s="53" t="str">
        <f>'Salary Detail'!E87</f>
        <v/>
      </c>
      <c r="M77" s="53" t="str">
        <f t="shared" si="3"/>
        <v/>
      </c>
    </row>
    <row r="78" spans="1:13" ht="13" customHeight="1" x14ac:dyDescent="0.25">
      <c r="A78" s="157" t="str">
        <f>'Salary Detail'!A88</f>
        <v/>
      </c>
      <c r="B78" s="53" t="str">
        <f>IF('Salary Detail'!P33="f",'Salary Detail'!C88,"")</f>
        <v/>
      </c>
      <c r="C78" s="53" t="str">
        <f>IF('Salary Detail'!P33="o",'Salary Detail'!C88,"")</f>
        <v/>
      </c>
      <c r="D78" s="53" t="str">
        <f>IF('Salary Detail'!P33="l",'Salary Detail'!C88,"")</f>
        <v/>
      </c>
      <c r="E78" s="53" t="str">
        <f>IF('Salary Detail'!P33="a",'Salary Detail'!C88,"")</f>
        <v/>
      </c>
      <c r="F78" s="53" t="str">
        <f>IF('Salary Detail'!P33="t",'Salary Detail'!C88,"")</f>
        <v/>
      </c>
      <c r="G78" s="53" t="str">
        <f>IF('Salary Detail'!P33="p",'Salary Detail'!C88,"")</f>
        <v/>
      </c>
      <c r="H78" s="53" t="str">
        <f>IF('Salary Detail'!P33="r",'Salary Detail'!C88,"")</f>
        <v/>
      </c>
      <c r="I78" s="53" t="str">
        <f>IF('Salary Detail'!P33="s",'Salary Detail'!C88,"")</f>
        <v/>
      </c>
      <c r="J78" s="53" t="str">
        <f>IF('Salary Detail'!P33="w",'Salary Detail'!C88,"")</f>
        <v/>
      </c>
      <c r="K78" s="53" t="str">
        <f>IF('Salary Detail'!P33="G",'Salary Detail'!C88,"")</f>
        <v/>
      </c>
      <c r="L78" s="53" t="str">
        <f>'Salary Detail'!E88</f>
        <v/>
      </c>
      <c r="M78" s="53" t="str">
        <f t="shared" si="3"/>
        <v/>
      </c>
    </row>
    <row r="79" spans="1:13" ht="13" customHeight="1" x14ac:dyDescent="0.25">
      <c r="A79" s="157" t="str">
        <f>'Salary Detail'!A89</f>
        <v/>
      </c>
      <c r="B79" s="53" t="str">
        <f>IF('Salary Detail'!P34="f",'Salary Detail'!C89,"")</f>
        <v/>
      </c>
      <c r="C79" s="53" t="str">
        <f>IF('Salary Detail'!P34="o",'Salary Detail'!C89,"")</f>
        <v/>
      </c>
      <c r="D79" s="53" t="str">
        <f>IF('Salary Detail'!P34="l",'Salary Detail'!C89,"")</f>
        <v/>
      </c>
      <c r="E79" s="53" t="str">
        <f>IF('Salary Detail'!P34="a",'Salary Detail'!C89,"")</f>
        <v/>
      </c>
      <c r="F79" s="53" t="str">
        <f>IF('Salary Detail'!P34="t",'Salary Detail'!C89,"")</f>
        <v/>
      </c>
      <c r="G79" s="53" t="str">
        <f>IF('Salary Detail'!P34="p",'Salary Detail'!C89,"")</f>
        <v/>
      </c>
      <c r="H79" s="53" t="str">
        <f>IF('Salary Detail'!P34="r",'Salary Detail'!C89,"")</f>
        <v/>
      </c>
      <c r="I79" s="53" t="str">
        <f>IF('Salary Detail'!P34="s",'Salary Detail'!C89,"")</f>
        <v/>
      </c>
      <c r="J79" s="53" t="str">
        <f>IF('Salary Detail'!P34="w",'Salary Detail'!C89,"")</f>
        <v/>
      </c>
      <c r="K79" s="53" t="str">
        <f>IF('Salary Detail'!P34="G",'Salary Detail'!C89,"")</f>
        <v/>
      </c>
      <c r="L79" s="53" t="str">
        <f>'Salary Detail'!E89</f>
        <v/>
      </c>
      <c r="M79" s="53" t="str">
        <f t="shared" si="3"/>
        <v/>
      </c>
    </row>
    <row r="80" spans="1:13" ht="13" customHeight="1" x14ac:dyDescent="0.25">
      <c r="A80" s="157" t="str">
        <f>'Salary Detail'!A90</f>
        <v/>
      </c>
      <c r="B80" s="53" t="str">
        <f>IF('Salary Detail'!P35="f",'Salary Detail'!C90,"")</f>
        <v/>
      </c>
      <c r="C80" s="53" t="str">
        <f>IF('Salary Detail'!P35="o",'Salary Detail'!C90,"")</f>
        <v/>
      </c>
      <c r="D80" s="53" t="str">
        <f>IF('Salary Detail'!P35="l",'Salary Detail'!C90,"")</f>
        <v/>
      </c>
      <c r="E80" s="53" t="str">
        <f>IF('Salary Detail'!P35="a",'Salary Detail'!C90,"")</f>
        <v/>
      </c>
      <c r="F80" s="53" t="str">
        <f>IF('Salary Detail'!P35="t",'Salary Detail'!C90,"")</f>
        <v/>
      </c>
      <c r="G80" s="53" t="str">
        <f>IF('Salary Detail'!P35="p",'Salary Detail'!C90,"")</f>
        <v/>
      </c>
      <c r="H80" s="53" t="str">
        <f>IF('Salary Detail'!P35="r",'Salary Detail'!C90,"")</f>
        <v/>
      </c>
      <c r="I80" s="53" t="str">
        <f>IF('Salary Detail'!P35="s",'Salary Detail'!C90,"")</f>
        <v/>
      </c>
      <c r="J80" s="53" t="str">
        <f>IF('Salary Detail'!P35="w",'Salary Detail'!C90,"")</f>
        <v/>
      </c>
      <c r="K80" s="53" t="str">
        <f>IF('Salary Detail'!P35="G",'Salary Detail'!C90,"")</f>
        <v/>
      </c>
      <c r="L80" s="53" t="str">
        <f>'Salary Detail'!E90</f>
        <v/>
      </c>
      <c r="M80" s="53" t="str">
        <f t="shared" si="3"/>
        <v/>
      </c>
    </row>
    <row r="81" spans="1:13" ht="13" customHeight="1" x14ac:dyDescent="0.25">
      <c r="A81" s="157" t="str">
        <f>'Salary Detail'!A91</f>
        <v/>
      </c>
      <c r="B81" s="53" t="str">
        <f>IF('Salary Detail'!P36="f",'Salary Detail'!C91,"")</f>
        <v/>
      </c>
      <c r="C81" s="53" t="str">
        <f>IF('Salary Detail'!P36="o",'Salary Detail'!C91,"")</f>
        <v/>
      </c>
      <c r="D81" s="53" t="str">
        <f>IF('Salary Detail'!P36="l",'Salary Detail'!C91,"")</f>
        <v/>
      </c>
      <c r="E81" s="53" t="str">
        <f>IF('Salary Detail'!P36="a",'Salary Detail'!C91,"")</f>
        <v/>
      </c>
      <c r="F81" s="53" t="str">
        <f>IF('Salary Detail'!P36="t",'Salary Detail'!C91,"")</f>
        <v/>
      </c>
      <c r="G81" s="53" t="str">
        <f>IF('Salary Detail'!P36="p",'Salary Detail'!C91,"")</f>
        <v/>
      </c>
      <c r="H81" s="53" t="str">
        <f>IF('Salary Detail'!P36="r",'Salary Detail'!C91,"")</f>
        <v/>
      </c>
      <c r="I81" s="53" t="str">
        <f>IF('Salary Detail'!P36="s",'Salary Detail'!C91,"")</f>
        <v/>
      </c>
      <c r="J81" s="53" t="str">
        <f>IF('Salary Detail'!P36="w",'Salary Detail'!C91,"")</f>
        <v/>
      </c>
      <c r="K81" s="53" t="str">
        <f>IF('Salary Detail'!P36="G",'Salary Detail'!C91,"")</f>
        <v/>
      </c>
      <c r="L81" s="53" t="str">
        <f>'Salary Detail'!E91</f>
        <v/>
      </c>
      <c r="M81" s="53" t="str">
        <f t="shared" si="3"/>
        <v/>
      </c>
    </row>
    <row r="82" spans="1:13" ht="13" customHeight="1" x14ac:dyDescent="0.25">
      <c r="A82" s="157" t="str">
        <f>'Salary Detail'!A92</f>
        <v/>
      </c>
      <c r="B82" s="53" t="str">
        <f>IF('Salary Detail'!P37="f",'Salary Detail'!C92,"")</f>
        <v/>
      </c>
      <c r="C82" s="53" t="str">
        <f>IF('Salary Detail'!P37="o",'Salary Detail'!C92,"")</f>
        <v/>
      </c>
      <c r="D82" s="53" t="str">
        <f>IF('Salary Detail'!P37="l",'Salary Detail'!C92,"")</f>
        <v/>
      </c>
      <c r="E82" s="53" t="str">
        <f>IF('Salary Detail'!P37="a",'Salary Detail'!C92,"")</f>
        <v/>
      </c>
      <c r="F82" s="53" t="str">
        <f>IF('Salary Detail'!P37="t",'Salary Detail'!C92,"")</f>
        <v/>
      </c>
      <c r="G82" s="53" t="str">
        <f>IF('Salary Detail'!P37="p",'Salary Detail'!C92,"")</f>
        <v/>
      </c>
      <c r="H82" s="53" t="str">
        <f>IF('Salary Detail'!P37="r",'Salary Detail'!C92,"")</f>
        <v/>
      </c>
      <c r="I82" s="53" t="str">
        <f>IF('Salary Detail'!P37="s",'Salary Detail'!C92,"")</f>
        <v/>
      </c>
      <c r="J82" s="53" t="str">
        <f>IF('Salary Detail'!P37="w",'Salary Detail'!C92,"")</f>
        <v/>
      </c>
      <c r="K82" s="53" t="str">
        <f>IF('Salary Detail'!P37="G",'Salary Detail'!C92,"")</f>
        <v/>
      </c>
      <c r="L82" s="53" t="str">
        <f>'Salary Detail'!E92</f>
        <v/>
      </c>
      <c r="M82" s="53" t="str">
        <f t="shared" si="3"/>
        <v/>
      </c>
    </row>
    <row r="83" spans="1:13" ht="13" customHeight="1" x14ac:dyDescent="0.25">
      <c r="A83" s="157" t="str">
        <f>'Salary Detail'!A93</f>
        <v/>
      </c>
      <c r="B83" s="53" t="str">
        <f>IF('Salary Detail'!P38="f",'Salary Detail'!C93,"")</f>
        <v/>
      </c>
      <c r="C83" s="53" t="str">
        <f>IF('Salary Detail'!P38="o",'Salary Detail'!C93,"")</f>
        <v/>
      </c>
      <c r="D83" s="53" t="str">
        <f>IF('Salary Detail'!P38="l",'Salary Detail'!C93,"")</f>
        <v/>
      </c>
      <c r="E83" s="53" t="str">
        <f>IF('Salary Detail'!P38="a",'Salary Detail'!C93,"")</f>
        <v/>
      </c>
      <c r="F83" s="53" t="str">
        <f>IF('Salary Detail'!P38="t",'Salary Detail'!C93,"")</f>
        <v/>
      </c>
      <c r="G83" s="53" t="str">
        <f>IF('Salary Detail'!P38="p",'Salary Detail'!C93,"")</f>
        <v/>
      </c>
      <c r="H83" s="53" t="str">
        <f>IF('Salary Detail'!P38="r",'Salary Detail'!C93,"")</f>
        <v/>
      </c>
      <c r="I83" s="53" t="str">
        <f>IF('Salary Detail'!P38="s",'Salary Detail'!C93,"")</f>
        <v/>
      </c>
      <c r="J83" s="53" t="str">
        <f>IF('Salary Detail'!P38="w",'Salary Detail'!C93,"")</f>
        <v/>
      </c>
      <c r="K83" s="53" t="str">
        <f>IF('Salary Detail'!P38="G",'Salary Detail'!C93,"")</f>
        <v/>
      </c>
      <c r="L83" s="53" t="str">
        <f>'Salary Detail'!E93</f>
        <v/>
      </c>
      <c r="M83" s="53" t="str">
        <f t="shared" si="3"/>
        <v/>
      </c>
    </row>
    <row r="84" spans="1:13" ht="13" customHeight="1" x14ac:dyDescent="0.25">
      <c r="A84" s="157" t="str">
        <f>'Salary Detail'!A94</f>
        <v/>
      </c>
      <c r="B84" s="53" t="str">
        <f>IF('Salary Detail'!P39="f",'Salary Detail'!C94,"")</f>
        <v/>
      </c>
      <c r="C84" s="53" t="str">
        <f>IF('Salary Detail'!P39="o",'Salary Detail'!C94,"")</f>
        <v/>
      </c>
      <c r="D84" s="53" t="str">
        <f>IF('Salary Detail'!P39="l",'Salary Detail'!C94,"")</f>
        <v/>
      </c>
      <c r="E84" s="53" t="str">
        <f>IF('Salary Detail'!P39="a",'Salary Detail'!C94,"")</f>
        <v/>
      </c>
      <c r="F84" s="53" t="str">
        <f>IF('Salary Detail'!P39="t",'Salary Detail'!C94,"")</f>
        <v/>
      </c>
      <c r="G84" s="53" t="str">
        <f>IF('Salary Detail'!P39="p",'Salary Detail'!C94,"")</f>
        <v/>
      </c>
      <c r="H84" s="53" t="str">
        <f>IF('Salary Detail'!P39="r",'Salary Detail'!C94,"")</f>
        <v/>
      </c>
      <c r="I84" s="53" t="str">
        <f>IF('Salary Detail'!P39="s",'Salary Detail'!C94,"")</f>
        <v/>
      </c>
      <c r="J84" s="53" t="str">
        <f>IF('Salary Detail'!P39="w",'Salary Detail'!C94,"")</f>
        <v/>
      </c>
      <c r="K84" s="53" t="str">
        <f>IF('Salary Detail'!P39="G",'Salary Detail'!C94,"")</f>
        <v/>
      </c>
      <c r="L84" s="53" t="str">
        <f>'Salary Detail'!E94</f>
        <v/>
      </c>
      <c r="M84" s="53" t="str">
        <f t="shared" si="3"/>
        <v/>
      </c>
    </row>
    <row r="85" spans="1:13" ht="13" customHeight="1" x14ac:dyDescent="0.25">
      <c r="A85" s="157" t="str">
        <f>'Salary Detail'!A95</f>
        <v/>
      </c>
      <c r="B85" s="53" t="str">
        <f>IF('Salary Detail'!P40="f",'Salary Detail'!C95,"")</f>
        <v/>
      </c>
      <c r="C85" s="53" t="str">
        <f>IF('Salary Detail'!P40="o",'Salary Detail'!C95,"")</f>
        <v/>
      </c>
      <c r="D85" s="53" t="str">
        <f>IF('Salary Detail'!P40="l",'Salary Detail'!C95,"")</f>
        <v/>
      </c>
      <c r="E85" s="53" t="str">
        <f>IF('Salary Detail'!P40="a",'Salary Detail'!C95,"")</f>
        <v/>
      </c>
      <c r="F85" s="53" t="str">
        <f>IF('Salary Detail'!P40="t",'Salary Detail'!C95,"")</f>
        <v/>
      </c>
      <c r="G85" s="53" t="str">
        <f>IF('Salary Detail'!P40="p",'Salary Detail'!C95,"")</f>
        <v/>
      </c>
      <c r="H85" s="53" t="str">
        <f>IF('Salary Detail'!P40="r",'Salary Detail'!C95,"")</f>
        <v/>
      </c>
      <c r="I85" s="53" t="str">
        <f>IF('Salary Detail'!P40="s",'Salary Detail'!C95,"")</f>
        <v/>
      </c>
      <c r="J85" s="53" t="str">
        <f>IF('Salary Detail'!P40="w",'Salary Detail'!C95,"")</f>
        <v/>
      </c>
      <c r="K85" s="53" t="str">
        <f>IF('Salary Detail'!P40="G",'Salary Detail'!C95,"")</f>
        <v/>
      </c>
      <c r="L85" s="53" t="str">
        <f>'Salary Detail'!E95</f>
        <v/>
      </c>
      <c r="M85" s="53" t="str">
        <f t="shared" si="3"/>
        <v/>
      </c>
    </row>
    <row r="86" spans="1:13" ht="13" customHeight="1" x14ac:dyDescent="0.25">
      <c r="A86" s="157" t="str">
        <f>'Salary Detail'!A96</f>
        <v/>
      </c>
      <c r="B86" s="53" t="str">
        <f>IF('Salary Detail'!P41="f",'Salary Detail'!C96,"")</f>
        <v/>
      </c>
      <c r="C86" s="53" t="str">
        <f>IF('Salary Detail'!P41="o",'Salary Detail'!C96,"")</f>
        <v/>
      </c>
      <c r="D86" s="53" t="str">
        <f>IF('Salary Detail'!P41="l",'Salary Detail'!C96,"")</f>
        <v/>
      </c>
      <c r="E86" s="53" t="str">
        <f>IF('Salary Detail'!P41="a",'Salary Detail'!C96,"")</f>
        <v/>
      </c>
      <c r="F86" s="53" t="str">
        <f>IF('Salary Detail'!P41="t",'Salary Detail'!C96,"")</f>
        <v/>
      </c>
      <c r="G86" s="53" t="str">
        <f>IF('Salary Detail'!P41="p",'Salary Detail'!C96,"")</f>
        <v/>
      </c>
      <c r="H86" s="53" t="str">
        <f>IF('Salary Detail'!P41="r",'Salary Detail'!C96,"")</f>
        <v/>
      </c>
      <c r="I86" s="53" t="str">
        <f>IF('Salary Detail'!P41="s",'Salary Detail'!C96,"")</f>
        <v/>
      </c>
      <c r="J86" s="53" t="str">
        <f>IF('Salary Detail'!P41="w",'Salary Detail'!C96,"")</f>
        <v/>
      </c>
      <c r="K86" s="53" t="str">
        <f>IF('Salary Detail'!P41="G",'Salary Detail'!C96,"")</f>
        <v/>
      </c>
      <c r="L86" s="53" t="str">
        <f>'Salary Detail'!E96</f>
        <v/>
      </c>
      <c r="M86" s="53" t="str">
        <f t="shared" si="3"/>
        <v/>
      </c>
    </row>
    <row r="87" spans="1:13" ht="13" customHeight="1" x14ac:dyDescent="0.25">
      <c r="A87" s="157" t="str">
        <f>'Salary Detail'!A97</f>
        <v/>
      </c>
      <c r="B87" s="53" t="str">
        <f>IF('Salary Detail'!P42="f",'Salary Detail'!C97,"")</f>
        <v/>
      </c>
      <c r="C87" s="53" t="str">
        <f>IF('Salary Detail'!P42="o",'Salary Detail'!C97,"")</f>
        <v/>
      </c>
      <c r="D87" s="53" t="str">
        <f>IF('Salary Detail'!P42="l",'Salary Detail'!C97,"")</f>
        <v/>
      </c>
      <c r="E87" s="53" t="str">
        <f>IF('Salary Detail'!P42="a",'Salary Detail'!C97,"")</f>
        <v/>
      </c>
      <c r="F87" s="53" t="str">
        <f>IF('Salary Detail'!P42="t",'Salary Detail'!C97,"")</f>
        <v/>
      </c>
      <c r="G87" s="53" t="str">
        <f>IF('Salary Detail'!P42="p",'Salary Detail'!C97,"")</f>
        <v/>
      </c>
      <c r="H87" s="53" t="str">
        <f>IF('Salary Detail'!P42="r",'Salary Detail'!C97,"")</f>
        <v/>
      </c>
      <c r="I87" s="53" t="str">
        <f>IF('Salary Detail'!P42="s",'Salary Detail'!C97,"")</f>
        <v/>
      </c>
      <c r="J87" s="53" t="str">
        <f>IF('Salary Detail'!P42="w",'Salary Detail'!C97,"")</f>
        <v/>
      </c>
      <c r="K87" s="53" t="str">
        <f>IF('Salary Detail'!P42="G",'Salary Detail'!C97,"")</f>
        <v/>
      </c>
      <c r="L87" s="53" t="str">
        <f>'Salary Detail'!E97</f>
        <v/>
      </c>
      <c r="M87" s="53" t="str">
        <f t="shared" si="3"/>
        <v/>
      </c>
    </row>
    <row r="88" spans="1:13" ht="13" customHeight="1" x14ac:dyDescent="0.25">
      <c r="A88" s="157" t="str">
        <f>'Salary Detail'!A98</f>
        <v/>
      </c>
      <c r="B88" s="53" t="str">
        <f>IF('Salary Detail'!P43="f",'Salary Detail'!C98,"")</f>
        <v/>
      </c>
      <c r="C88" s="53" t="str">
        <f>IF('Salary Detail'!P43="o",'Salary Detail'!C98,"")</f>
        <v/>
      </c>
      <c r="D88" s="53" t="str">
        <f>IF('Salary Detail'!P43="l",'Salary Detail'!C98,"")</f>
        <v/>
      </c>
      <c r="E88" s="53" t="str">
        <f>IF('Salary Detail'!P43="a",'Salary Detail'!C98,"")</f>
        <v/>
      </c>
      <c r="F88" s="53" t="str">
        <f>IF('Salary Detail'!P43="t",'Salary Detail'!C98,"")</f>
        <v/>
      </c>
      <c r="G88" s="53" t="str">
        <f>IF('Salary Detail'!P43="p",'Salary Detail'!C98,"")</f>
        <v/>
      </c>
      <c r="H88" s="53" t="str">
        <f>IF('Salary Detail'!P43="r",'Salary Detail'!C98,"")</f>
        <v/>
      </c>
      <c r="I88" s="53" t="str">
        <f>IF('Salary Detail'!P43="s",'Salary Detail'!C98,"")</f>
        <v/>
      </c>
      <c r="J88" s="53" t="str">
        <f>IF('Salary Detail'!P43="w",'Salary Detail'!C98,"")</f>
        <v/>
      </c>
      <c r="K88" s="53" t="str">
        <f>IF('Salary Detail'!P43="G",'Salary Detail'!C98,"")</f>
        <v/>
      </c>
      <c r="L88" s="53" t="str">
        <f>'Salary Detail'!E98</f>
        <v/>
      </c>
      <c r="M88" s="53" t="str">
        <f t="shared" si="3"/>
        <v/>
      </c>
    </row>
    <row r="89" spans="1:13" ht="13" customHeight="1" x14ac:dyDescent="0.25">
      <c r="A89" s="157" t="str">
        <f>'Salary Detail'!A99</f>
        <v/>
      </c>
      <c r="B89" s="53" t="str">
        <f>IF('Salary Detail'!P44="f",'Salary Detail'!C99,"")</f>
        <v/>
      </c>
      <c r="C89" s="53" t="str">
        <f>IF('Salary Detail'!P44="o",'Salary Detail'!C99,"")</f>
        <v/>
      </c>
      <c r="D89" s="53" t="str">
        <f>IF('Salary Detail'!P44="l",'Salary Detail'!C99,"")</f>
        <v/>
      </c>
      <c r="E89" s="53" t="str">
        <f>IF('Salary Detail'!P44="a",'Salary Detail'!C99,"")</f>
        <v/>
      </c>
      <c r="F89" s="53" t="str">
        <f>IF('Salary Detail'!P44="t",'Salary Detail'!C99,"")</f>
        <v/>
      </c>
      <c r="G89" s="53" t="str">
        <f>IF('Salary Detail'!P44="p",'Salary Detail'!C99,"")</f>
        <v/>
      </c>
      <c r="H89" s="53" t="str">
        <f>IF('Salary Detail'!P44="r",'Salary Detail'!C99,"")</f>
        <v/>
      </c>
      <c r="I89" s="53" t="str">
        <f>IF('Salary Detail'!P44="s",'Salary Detail'!C99,"")</f>
        <v/>
      </c>
      <c r="J89" s="53" t="str">
        <f>IF('Salary Detail'!P44="w",'Salary Detail'!C99,"")</f>
        <v/>
      </c>
      <c r="K89" s="53" t="str">
        <f>IF('Salary Detail'!P44="G",'Salary Detail'!C99,"")</f>
        <v/>
      </c>
      <c r="L89" s="53" t="str">
        <f>'Salary Detail'!E99</f>
        <v/>
      </c>
      <c r="M89" s="53" t="str">
        <f t="shared" si="3"/>
        <v/>
      </c>
    </row>
    <row r="90" spans="1:13" ht="13" customHeight="1" x14ac:dyDescent="0.25">
      <c r="A90" s="157" t="str">
        <f>'Salary Detail'!A100</f>
        <v/>
      </c>
      <c r="B90" s="53" t="str">
        <f>IF('Salary Detail'!P45="f",'Salary Detail'!C100,"")</f>
        <v/>
      </c>
      <c r="C90" s="53" t="str">
        <f>IF('Salary Detail'!P45="o",'Salary Detail'!C100,"")</f>
        <v/>
      </c>
      <c r="D90" s="53" t="str">
        <f>IF('Salary Detail'!P45="l",'Salary Detail'!C100,"")</f>
        <v/>
      </c>
      <c r="E90" s="53" t="str">
        <f>IF('Salary Detail'!P45="a",'Salary Detail'!C100,"")</f>
        <v/>
      </c>
      <c r="F90" s="53" t="str">
        <f>IF('Salary Detail'!P45="t",'Salary Detail'!C100,"")</f>
        <v/>
      </c>
      <c r="G90" s="53" t="str">
        <f>IF('Salary Detail'!P45="p",'Salary Detail'!C100,"")</f>
        <v/>
      </c>
      <c r="H90" s="53" t="str">
        <f>IF('Salary Detail'!P45="r",'Salary Detail'!C100,"")</f>
        <v/>
      </c>
      <c r="I90" s="53" t="str">
        <f>IF('Salary Detail'!P45="s",'Salary Detail'!C100,"")</f>
        <v/>
      </c>
      <c r="J90" s="53" t="str">
        <f>IF('Salary Detail'!P45="w",'Salary Detail'!C100,"")</f>
        <v/>
      </c>
      <c r="K90" s="53" t="str">
        <f>IF('Salary Detail'!P45="G",'Salary Detail'!C100,"")</f>
        <v/>
      </c>
      <c r="L90" s="53" t="str">
        <f>'Salary Detail'!E100</f>
        <v/>
      </c>
      <c r="M90" s="53" t="str">
        <f t="shared" si="3"/>
        <v/>
      </c>
    </row>
    <row r="91" spans="1:13" ht="13" customHeight="1" x14ac:dyDescent="0.25">
      <c r="A91" s="157" t="str">
        <f>'Salary Detail'!A101</f>
        <v/>
      </c>
      <c r="B91" s="53" t="str">
        <f>IF('Salary Detail'!P46="f",'Salary Detail'!C101,"")</f>
        <v/>
      </c>
      <c r="C91" s="53" t="str">
        <f>IF('Salary Detail'!P46="o",'Salary Detail'!C101,"")</f>
        <v/>
      </c>
      <c r="D91" s="53" t="str">
        <f>IF('Salary Detail'!P46="l",'Salary Detail'!C101,"")</f>
        <v/>
      </c>
      <c r="E91" s="53" t="str">
        <f>IF('Salary Detail'!P46="a",'Salary Detail'!C101,"")</f>
        <v/>
      </c>
      <c r="F91" s="53" t="str">
        <f>IF('Salary Detail'!P46="t",'Salary Detail'!C101,"")</f>
        <v/>
      </c>
      <c r="G91" s="53" t="str">
        <f>IF('Salary Detail'!P46="p",'Salary Detail'!C101,"")</f>
        <v/>
      </c>
      <c r="H91" s="53" t="str">
        <f>IF('Salary Detail'!P46="r",'Salary Detail'!C101,"")</f>
        <v/>
      </c>
      <c r="I91" s="53" t="str">
        <f>IF('Salary Detail'!P46="s",'Salary Detail'!C101,"")</f>
        <v/>
      </c>
      <c r="J91" s="53" t="str">
        <f>IF('Salary Detail'!P46="w",'Salary Detail'!C101,"")</f>
        <v/>
      </c>
      <c r="K91" s="53" t="str">
        <f>IF('Salary Detail'!P46="G",'Salary Detail'!C101,"")</f>
        <v/>
      </c>
      <c r="L91" s="53" t="str">
        <f>'Salary Detail'!E101</f>
        <v/>
      </c>
      <c r="M91" s="53" t="str">
        <f t="shared" si="3"/>
        <v/>
      </c>
    </row>
    <row r="92" spans="1:13" ht="13" customHeight="1" x14ac:dyDescent="0.25">
      <c r="A92" s="157" t="str">
        <f>'Salary Detail'!A102</f>
        <v/>
      </c>
      <c r="B92" s="53" t="str">
        <f>IF('Salary Detail'!P47="f",'Salary Detail'!C102,"")</f>
        <v/>
      </c>
      <c r="C92" s="53" t="str">
        <f>IF('Salary Detail'!P47="o",'Salary Detail'!C102,"")</f>
        <v/>
      </c>
      <c r="D92" s="53" t="str">
        <f>IF('Salary Detail'!P47="l",'Salary Detail'!C102,"")</f>
        <v/>
      </c>
      <c r="E92" s="53" t="str">
        <f>IF('Salary Detail'!P47="a",'Salary Detail'!C102,"")</f>
        <v/>
      </c>
      <c r="F92" s="53" t="str">
        <f>IF('Salary Detail'!P47="t",'Salary Detail'!C102,"")</f>
        <v/>
      </c>
      <c r="G92" s="53" t="str">
        <f>IF('Salary Detail'!P47="p",'Salary Detail'!C102,"")</f>
        <v/>
      </c>
      <c r="H92" s="53" t="str">
        <f>IF('Salary Detail'!P47="r",'Salary Detail'!C102,"")</f>
        <v/>
      </c>
      <c r="I92" s="53" t="str">
        <f>IF('Salary Detail'!P47="s",'Salary Detail'!C102,"")</f>
        <v/>
      </c>
      <c r="J92" s="53" t="str">
        <f>IF('Salary Detail'!P47="w",'Salary Detail'!C102,"")</f>
        <v/>
      </c>
      <c r="K92" s="53" t="str">
        <f>IF('Salary Detail'!P47="G",'Salary Detail'!C102,"")</f>
        <v/>
      </c>
      <c r="L92" s="53" t="str">
        <f>'Salary Detail'!E102</f>
        <v/>
      </c>
      <c r="M92" s="53" t="str">
        <f t="shared" si="3"/>
        <v/>
      </c>
    </row>
    <row r="93" spans="1:13" ht="13" customHeight="1" x14ac:dyDescent="0.25">
      <c r="A93" s="157" t="str">
        <f>'Salary Detail'!A103</f>
        <v/>
      </c>
      <c r="B93" s="53" t="str">
        <f>IF('Salary Detail'!P48="f",'Salary Detail'!C103,"")</f>
        <v/>
      </c>
      <c r="C93" s="53" t="str">
        <f>IF('Salary Detail'!P48="o",'Salary Detail'!C103,"")</f>
        <v/>
      </c>
      <c r="D93" s="53" t="str">
        <f>IF('Salary Detail'!P48="l",'Salary Detail'!C103,"")</f>
        <v/>
      </c>
      <c r="E93" s="53" t="str">
        <f>IF('Salary Detail'!P48="a",'Salary Detail'!C103,"")</f>
        <v/>
      </c>
      <c r="F93" s="53" t="str">
        <f>IF('Salary Detail'!P48="t",'Salary Detail'!C103,"")</f>
        <v/>
      </c>
      <c r="G93" s="53" t="str">
        <f>IF('Salary Detail'!P48="p",'Salary Detail'!C103,"")</f>
        <v/>
      </c>
      <c r="H93" s="53" t="str">
        <f>IF('Salary Detail'!P48="r",'Salary Detail'!C103,"")</f>
        <v/>
      </c>
      <c r="I93" s="53" t="str">
        <f>IF('Salary Detail'!P48="s",'Salary Detail'!C103,"")</f>
        <v/>
      </c>
      <c r="J93" s="53" t="str">
        <f>IF('Salary Detail'!P48="w",'Salary Detail'!C103,"")</f>
        <v/>
      </c>
      <c r="K93" s="53" t="str">
        <f>IF('Salary Detail'!P48="G",'Salary Detail'!C103,"")</f>
        <v/>
      </c>
      <c r="L93" s="53" t="str">
        <f>'Salary Detail'!E103</f>
        <v/>
      </c>
      <c r="M93" s="53" t="str">
        <f t="shared" si="3"/>
        <v/>
      </c>
    </row>
    <row r="94" spans="1:13" ht="13" customHeight="1" x14ac:dyDescent="0.25">
      <c r="A94" s="157" t="str">
        <f>'Salary Detail'!A104</f>
        <v/>
      </c>
      <c r="B94" s="53" t="str">
        <f>IF('Salary Detail'!P49="f",'Salary Detail'!C104,"")</f>
        <v/>
      </c>
      <c r="C94" s="53" t="str">
        <f>IF('Salary Detail'!P49="o",'Salary Detail'!C104,"")</f>
        <v/>
      </c>
      <c r="D94" s="53" t="str">
        <f>IF('Salary Detail'!P49="l",'Salary Detail'!C104,"")</f>
        <v/>
      </c>
      <c r="E94" s="53" t="str">
        <f>IF('Salary Detail'!P49="a",'Salary Detail'!C104,"")</f>
        <v/>
      </c>
      <c r="F94" s="53" t="str">
        <f>IF('Salary Detail'!P49="t",'Salary Detail'!C104,"")</f>
        <v/>
      </c>
      <c r="G94" s="53" t="str">
        <f>IF('Salary Detail'!P49="p",'Salary Detail'!C104,"")</f>
        <v/>
      </c>
      <c r="H94" s="53" t="str">
        <f>IF('Salary Detail'!P49="r",'Salary Detail'!C104,"")</f>
        <v/>
      </c>
      <c r="I94" s="53" t="str">
        <f>IF('Salary Detail'!P49="s",'Salary Detail'!C104,"")</f>
        <v/>
      </c>
      <c r="J94" s="53" t="str">
        <f>IF('Salary Detail'!P49="w",'Salary Detail'!C104,"")</f>
        <v/>
      </c>
      <c r="K94" s="53" t="str">
        <f>IF('Salary Detail'!P49="G",'Salary Detail'!C104,"")</f>
        <v/>
      </c>
      <c r="L94" s="53" t="str">
        <f>'Salary Detail'!E104</f>
        <v/>
      </c>
      <c r="M94" s="53" t="str">
        <f t="shared" si="3"/>
        <v/>
      </c>
    </row>
    <row r="95" spans="1:13" ht="13" customHeight="1" x14ac:dyDescent="0.25">
      <c r="A95" s="157" t="str">
        <f>'Salary Detail'!A105</f>
        <v/>
      </c>
      <c r="B95" s="53" t="str">
        <f>IF('Salary Detail'!P50="f",'Salary Detail'!C105,"")</f>
        <v/>
      </c>
      <c r="C95" s="53" t="str">
        <f>IF('Salary Detail'!P50="o",'Salary Detail'!C105,"")</f>
        <v/>
      </c>
      <c r="D95" s="53" t="str">
        <f>IF('Salary Detail'!P50="l",'Salary Detail'!C105,"")</f>
        <v/>
      </c>
      <c r="E95" s="53" t="str">
        <f>IF('Salary Detail'!P50="a",'Salary Detail'!C105,"")</f>
        <v/>
      </c>
      <c r="F95" s="53" t="str">
        <f>IF('Salary Detail'!P50="t",'Salary Detail'!C105,"")</f>
        <v/>
      </c>
      <c r="G95" s="53" t="str">
        <f>IF('Salary Detail'!P50="p",'Salary Detail'!C105,"")</f>
        <v/>
      </c>
      <c r="H95" s="53" t="str">
        <f>IF('Salary Detail'!P50="r",'Salary Detail'!C105,"")</f>
        <v/>
      </c>
      <c r="I95" s="53" t="str">
        <f>IF('Salary Detail'!P50="s",'Salary Detail'!C105,"")</f>
        <v/>
      </c>
      <c r="J95" s="53" t="str">
        <f>IF('Salary Detail'!P50="w",'Salary Detail'!C105,"")</f>
        <v/>
      </c>
      <c r="K95" s="53" t="str">
        <f>IF('Salary Detail'!P50="G",'Salary Detail'!C105,"")</f>
        <v/>
      </c>
      <c r="L95" s="53" t="str">
        <f>'Salary Detail'!E105</f>
        <v/>
      </c>
      <c r="M95" s="53" t="str">
        <f t="shared" si="3"/>
        <v/>
      </c>
    </row>
    <row r="96" spans="1:13" ht="13" customHeight="1" x14ac:dyDescent="0.25">
      <c r="A96" s="157" t="str">
        <f>'Salary Detail'!A106</f>
        <v/>
      </c>
      <c r="B96" s="53" t="str">
        <f>IF('Salary Detail'!P51="f",'Salary Detail'!C106,"")</f>
        <v/>
      </c>
      <c r="C96" s="53" t="str">
        <f>IF('Salary Detail'!P51="o",'Salary Detail'!C106,"")</f>
        <v/>
      </c>
      <c r="D96" s="53" t="str">
        <f>IF('Salary Detail'!P51="l",'Salary Detail'!C106,"")</f>
        <v/>
      </c>
      <c r="E96" s="53" t="str">
        <f>IF('Salary Detail'!P51="a",'Salary Detail'!C106,"")</f>
        <v/>
      </c>
      <c r="F96" s="53" t="str">
        <f>IF('Salary Detail'!P51="t",'Salary Detail'!C106,"")</f>
        <v/>
      </c>
      <c r="G96" s="53" t="str">
        <f>IF('Salary Detail'!P51="p",'Salary Detail'!C106,"")</f>
        <v/>
      </c>
      <c r="H96" s="53" t="str">
        <f>IF('Salary Detail'!P51="r",'Salary Detail'!C106,"")</f>
        <v/>
      </c>
      <c r="I96" s="53" t="str">
        <f>IF('Salary Detail'!P51="s",'Salary Detail'!C106,"")</f>
        <v/>
      </c>
      <c r="J96" s="53" t="str">
        <f>IF('Salary Detail'!P51="w",'Salary Detail'!C106,"")</f>
        <v/>
      </c>
      <c r="K96" s="53" t="str">
        <f>IF('Salary Detail'!P51="G",'Salary Detail'!C106,"")</f>
        <v/>
      </c>
      <c r="L96" s="53" t="str">
        <f>'Salary Detail'!E106</f>
        <v/>
      </c>
      <c r="M96" s="53" t="str">
        <f t="shared" si="3"/>
        <v/>
      </c>
    </row>
    <row r="97" spans="1:13" ht="13" customHeight="1" x14ac:dyDescent="0.25">
      <c r="A97" s="157" t="str">
        <f>'Salary Detail'!A107</f>
        <v/>
      </c>
      <c r="B97" s="53" t="str">
        <f>IF('Salary Detail'!P52="f",'Salary Detail'!C107,"")</f>
        <v/>
      </c>
      <c r="C97" s="53" t="str">
        <f>IF('Salary Detail'!P52="o",'Salary Detail'!C107,"")</f>
        <v/>
      </c>
      <c r="D97" s="53" t="str">
        <f>IF('Salary Detail'!P52="l",'Salary Detail'!C107,"")</f>
        <v/>
      </c>
      <c r="E97" s="53" t="str">
        <f>IF('Salary Detail'!P52="a",'Salary Detail'!C107,"")</f>
        <v/>
      </c>
      <c r="F97" s="53" t="str">
        <f>IF('Salary Detail'!P52="t",'Salary Detail'!C107,"")</f>
        <v/>
      </c>
      <c r="G97" s="53" t="str">
        <f>IF('Salary Detail'!P52="p",'Salary Detail'!C107,"")</f>
        <v/>
      </c>
      <c r="H97" s="53" t="str">
        <f>IF('Salary Detail'!P52="r",'Salary Detail'!C107,"")</f>
        <v/>
      </c>
      <c r="I97" s="53" t="str">
        <f>IF('Salary Detail'!P52="s",'Salary Detail'!C107,"")</f>
        <v/>
      </c>
      <c r="J97" s="53" t="str">
        <f>IF('Salary Detail'!P52="w",'Salary Detail'!C107,"")</f>
        <v/>
      </c>
      <c r="K97" s="53" t="str">
        <f>IF('Salary Detail'!P52="G",'Salary Detail'!C107,"")</f>
        <v/>
      </c>
      <c r="L97" s="53" t="str">
        <f>'Salary Detail'!E107</f>
        <v/>
      </c>
      <c r="M97" s="53" t="str">
        <f t="shared" si="3"/>
        <v/>
      </c>
    </row>
    <row r="98" spans="1:13" ht="13" customHeight="1" x14ac:dyDescent="0.25">
      <c r="A98" s="157" t="str">
        <f>'Salary Detail'!A108</f>
        <v/>
      </c>
      <c r="B98" s="53" t="str">
        <f>IF('Salary Detail'!P53="f",'Salary Detail'!C108,"")</f>
        <v/>
      </c>
      <c r="C98" s="53" t="str">
        <f>IF('Salary Detail'!P53="o",'Salary Detail'!C108,"")</f>
        <v/>
      </c>
      <c r="D98" s="53" t="str">
        <f>IF('Salary Detail'!P53="l",'Salary Detail'!C108,"")</f>
        <v/>
      </c>
      <c r="E98" s="53" t="str">
        <f>IF('Salary Detail'!P53="a",'Salary Detail'!C108,"")</f>
        <v/>
      </c>
      <c r="F98" s="53" t="str">
        <f>IF('Salary Detail'!P53="t",'Salary Detail'!C108,"")</f>
        <v/>
      </c>
      <c r="G98" s="53" t="str">
        <f>IF('Salary Detail'!P53="p",'Salary Detail'!C108,"")</f>
        <v/>
      </c>
      <c r="H98" s="53" t="str">
        <f>IF('Salary Detail'!P53="r",'Salary Detail'!C108,"")</f>
        <v/>
      </c>
      <c r="I98" s="53" t="str">
        <f>IF('Salary Detail'!P53="s",'Salary Detail'!C108,"")</f>
        <v/>
      </c>
      <c r="J98" s="53" t="str">
        <f>IF('Salary Detail'!P53="w",'Salary Detail'!C108,"")</f>
        <v/>
      </c>
      <c r="K98" s="53" t="str">
        <f>IF('Salary Detail'!P53="G",'Salary Detail'!C108,"")</f>
        <v/>
      </c>
      <c r="L98" s="53" t="str">
        <f>'Salary Detail'!E108</f>
        <v/>
      </c>
      <c r="M98" s="53" t="str">
        <f t="shared" si="3"/>
        <v/>
      </c>
    </row>
    <row r="99" spans="1:13" ht="13" customHeight="1" x14ac:dyDescent="0.25">
      <c r="A99" s="157" t="str">
        <f>'Salary Detail'!A109</f>
        <v/>
      </c>
      <c r="B99" s="53" t="str">
        <f>IF('Salary Detail'!P54="f",'Salary Detail'!C109,"")</f>
        <v/>
      </c>
      <c r="C99" s="53" t="str">
        <f>IF('Salary Detail'!P54="o",'Salary Detail'!C109,"")</f>
        <v/>
      </c>
      <c r="D99" s="53" t="str">
        <f>IF('Salary Detail'!P54="l",'Salary Detail'!C109,"")</f>
        <v/>
      </c>
      <c r="E99" s="53" t="str">
        <f>IF('Salary Detail'!P54="a",'Salary Detail'!C109,"")</f>
        <v/>
      </c>
      <c r="F99" s="53" t="str">
        <f>IF('Salary Detail'!P54="t",'Salary Detail'!C109,"")</f>
        <v/>
      </c>
      <c r="G99" s="53" t="str">
        <f>IF('Salary Detail'!P54="p",'Salary Detail'!C109,"")</f>
        <v/>
      </c>
      <c r="H99" s="53" t="str">
        <f>IF('Salary Detail'!P54="r",'Salary Detail'!C109,"")</f>
        <v/>
      </c>
      <c r="I99" s="53" t="str">
        <f>IF('Salary Detail'!P54="s",'Salary Detail'!C109,"")</f>
        <v/>
      </c>
      <c r="J99" s="53" t="str">
        <f>IF('Salary Detail'!P54="w",'Salary Detail'!C109,"")</f>
        <v/>
      </c>
      <c r="K99" s="53" t="str">
        <f>IF('Salary Detail'!P54="G",'Salary Detail'!C109,"")</f>
        <v/>
      </c>
      <c r="L99" s="53" t="str">
        <f>'Salary Detail'!E109</f>
        <v/>
      </c>
      <c r="M99" s="53" t="str">
        <f t="shared" si="3"/>
        <v/>
      </c>
    </row>
    <row r="100" spans="1:13" ht="13" customHeight="1" x14ac:dyDescent="0.25">
      <c r="A100" s="157" t="str">
        <f>'Salary Detail'!A110</f>
        <v/>
      </c>
      <c r="B100" s="53" t="str">
        <f>IF('Salary Detail'!P55="f",'Salary Detail'!C110,"")</f>
        <v/>
      </c>
      <c r="C100" s="53" t="str">
        <f>IF('Salary Detail'!P55="o",'Salary Detail'!C110,"")</f>
        <v/>
      </c>
      <c r="D100" s="53" t="str">
        <f>IF('Salary Detail'!P55="l",'Salary Detail'!C110,"")</f>
        <v/>
      </c>
      <c r="E100" s="53" t="str">
        <f>IF('Salary Detail'!P55="a",'Salary Detail'!C110,"")</f>
        <v/>
      </c>
      <c r="F100" s="53" t="str">
        <f>IF('Salary Detail'!P55="t",'Salary Detail'!C110,"")</f>
        <v/>
      </c>
      <c r="G100" s="53" t="str">
        <f>IF('Salary Detail'!P55="p",'Salary Detail'!C110,"")</f>
        <v/>
      </c>
      <c r="H100" s="53" t="str">
        <f>IF('Salary Detail'!P55="r",'Salary Detail'!C110,"")</f>
        <v/>
      </c>
      <c r="I100" s="53" t="str">
        <f>IF('Salary Detail'!P55="s",'Salary Detail'!C110,"")</f>
        <v/>
      </c>
      <c r="J100" s="53" t="str">
        <f>IF('Salary Detail'!P55="w",'Salary Detail'!C110,"")</f>
        <v/>
      </c>
      <c r="K100" s="53" t="str">
        <f>IF('Salary Detail'!P55="G",'Salary Detail'!C110,"")</f>
        <v/>
      </c>
      <c r="L100" s="53" t="str">
        <f>'Salary Detail'!E110</f>
        <v/>
      </c>
      <c r="M100" s="53" t="str">
        <f t="shared" si="3"/>
        <v/>
      </c>
    </row>
    <row r="101" spans="1:13" ht="13" customHeight="1" x14ac:dyDescent="0.25">
      <c r="A101" s="157" t="str">
        <f>'Salary Detail'!A111</f>
        <v/>
      </c>
      <c r="B101" s="53" t="str">
        <f>IF('Salary Detail'!P56="f",'Salary Detail'!C111,"")</f>
        <v/>
      </c>
      <c r="C101" s="53" t="str">
        <f>IF('Salary Detail'!P56="o",'Salary Detail'!C111,"")</f>
        <v/>
      </c>
      <c r="D101" s="53" t="str">
        <f>IF('Salary Detail'!P56="l",'Salary Detail'!C111,"")</f>
        <v/>
      </c>
      <c r="E101" s="53" t="str">
        <f>IF('Salary Detail'!P56="a",'Salary Detail'!C111,"")</f>
        <v/>
      </c>
      <c r="F101" s="53" t="str">
        <f>IF('Salary Detail'!P56="t",'Salary Detail'!C111,"")</f>
        <v/>
      </c>
      <c r="G101" s="53" t="str">
        <f>IF('Salary Detail'!P56="p",'Salary Detail'!C111,"")</f>
        <v/>
      </c>
      <c r="H101" s="53" t="str">
        <f>IF('Salary Detail'!P56="r",'Salary Detail'!C111,"")</f>
        <v/>
      </c>
      <c r="I101" s="53" t="str">
        <f>IF('Salary Detail'!P56="s",'Salary Detail'!C111,"")</f>
        <v/>
      </c>
      <c r="J101" s="53" t="str">
        <f>IF('Salary Detail'!P56="w",'Salary Detail'!C111,"")</f>
        <v/>
      </c>
      <c r="K101" s="53" t="str">
        <f>IF('Salary Detail'!P56="G",'Salary Detail'!C111,"")</f>
        <v/>
      </c>
      <c r="L101" s="53" t="str">
        <f>'Salary Detail'!E111</f>
        <v/>
      </c>
      <c r="M101" s="53" t="str">
        <f t="shared" si="3"/>
        <v/>
      </c>
    </row>
    <row r="102" spans="1:13" ht="13" customHeight="1" x14ac:dyDescent="0.25">
      <c r="A102" s="157" t="str">
        <f>'Salary Detail'!A112</f>
        <v/>
      </c>
      <c r="B102" s="53" t="str">
        <f>IF('Salary Detail'!P57="f",'Salary Detail'!C112,"")</f>
        <v/>
      </c>
      <c r="C102" s="53" t="str">
        <f>IF('Salary Detail'!P57="o",'Salary Detail'!C112,"")</f>
        <v/>
      </c>
      <c r="D102" s="53" t="str">
        <f>IF('Salary Detail'!P57="l",'Salary Detail'!C112,"")</f>
        <v/>
      </c>
      <c r="E102" s="53" t="str">
        <f>IF('Salary Detail'!P57="a",'Salary Detail'!C112,"")</f>
        <v/>
      </c>
      <c r="F102" s="53" t="str">
        <f>IF('Salary Detail'!P57="t",'Salary Detail'!C112,"")</f>
        <v/>
      </c>
      <c r="G102" s="53" t="str">
        <f>IF('Salary Detail'!P57="p",'Salary Detail'!C112,"")</f>
        <v/>
      </c>
      <c r="H102" s="53" t="str">
        <f>IF('Salary Detail'!P57="r",'Salary Detail'!C112,"")</f>
        <v/>
      </c>
      <c r="I102" s="53" t="str">
        <f>IF('Salary Detail'!P57="s",'Salary Detail'!C112,"")</f>
        <v/>
      </c>
      <c r="J102" s="53" t="str">
        <f>IF('Salary Detail'!P57="w",'Salary Detail'!C112,"")</f>
        <v/>
      </c>
      <c r="K102" s="53" t="str">
        <f>IF('Salary Detail'!P57="G",'Salary Detail'!C112,"")</f>
        <v/>
      </c>
      <c r="L102" s="53" t="str">
        <f>'Salary Detail'!E112</f>
        <v/>
      </c>
      <c r="M102" s="53" t="str">
        <f t="shared" si="3"/>
        <v/>
      </c>
    </row>
    <row r="103" spans="1:13" ht="13" customHeight="1" x14ac:dyDescent="0.25">
      <c r="A103" s="157" t="str">
        <f>'Salary Detail'!A113</f>
        <v/>
      </c>
      <c r="B103" s="53" t="str">
        <f>IF('Salary Detail'!P58="f",'Salary Detail'!C113,"")</f>
        <v/>
      </c>
      <c r="C103" s="53" t="str">
        <f>IF('Salary Detail'!P58="o",'Salary Detail'!C113,"")</f>
        <v/>
      </c>
      <c r="D103" s="53" t="str">
        <f>IF('Salary Detail'!P58="l",'Salary Detail'!C113,"")</f>
        <v/>
      </c>
      <c r="E103" s="53" t="str">
        <f>IF('Salary Detail'!P58="a",'Salary Detail'!C113,"")</f>
        <v/>
      </c>
      <c r="F103" s="53" t="str">
        <f>IF('Salary Detail'!P58="t",'Salary Detail'!C113,"")</f>
        <v/>
      </c>
      <c r="G103" s="53" t="str">
        <f>IF('Salary Detail'!P58="p",'Salary Detail'!C113,"")</f>
        <v/>
      </c>
      <c r="H103" s="53" t="str">
        <f>IF('Salary Detail'!P58="r",'Salary Detail'!C113,"")</f>
        <v/>
      </c>
      <c r="I103" s="53" t="str">
        <f>IF('Salary Detail'!P58="s",'Salary Detail'!C113,"")</f>
        <v/>
      </c>
      <c r="J103" s="53" t="str">
        <f>IF('Salary Detail'!P58="w",'Salary Detail'!C113,"")</f>
        <v/>
      </c>
      <c r="K103" s="53" t="str">
        <f>IF('Salary Detail'!P58="G",'Salary Detail'!C113,"")</f>
        <v/>
      </c>
      <c r="L103" s="53" t="str">
        <f>'Salary Detail'!E113</f>
        <v/>
      </c>
      <c r="M103" s="53" t="str">
        <f t="shared" si="3"/>
        <v/>
      </c>
    </row>
    <row r="104" spans="1:13" ht="13" customHeight="1" x14ac:dyDescent="0.25">
      <c r="A104" s="157" t="str">
        <f>'Salary Detail'!A114</f>
        <v/>
      </c>
      <c r="B104" s="53" t="str">
        <f>IF('Salary Detail'!P59="f",'Salary Detail'!C114,"")</f>
        <v/>
      </c>
      <c r="C104" s="53" t="str">
        <f>IF('Salary Detail'!P59="o",'Salary Detail'!C114,"")</f>
        <v/>
      </c>
      <c r="D104" s="53" t="str">
        <f>IF('Salary Detail'!P59="l",'Salary Detail'!C114,"")</f>
        <v/>
      </c>
      <c r="E104" s="53" t="str">
        <f>IF('Salary Detail'!P59="a",'Salary Detail'!C114,"")</f>
        <v/>
      </c>
      <c r="F104" s="53" t="str">
        <f>IF('Salary Detail'!P59="t",'Salary Detail'!C114,"")</f>
        <v/>
      </c>
      <c r="G104" s="53" t="str">
        <f>IF('Salary Detail'!P59="p",'Salary Detail'!C114,"")</f>
        <v/>
      </c>
      <c r="H104" s="53" t="str">
        <f>IF('Salary Detail'!P59="r",'Salary Detail'!C114,"")</f>
        <v/>
      </c>
      <c r="I104" s="53" t="str">
        <f>IF('Salary Detail'!P59="s",'Salary Detail'!C114,"")</f>
        <v/>
      </c>
      <c r="J104" s="53" t="str">
        <f>IF('Salary Detail'!P59="w",'Salary Detail'!C114,"")</f>
        <v/>
      </c>
      <c r="K104" s="53" t="str">
        <f>IF('Salary Detail'!P59="G",'Salary Detail'!C114,"")</f>
        <v/>
      </c>
      <c r="L104" s="53" t="str">
        <f>'Salary Detail'!E114</f>
        <v/>
      </c>
      <c r="M104" s="53" t="str">
        <f t="shared" si="3"/>
        <v/>
      </c>
    </row>
    <row r="105" spans="1:13" ht="13" customHeight="1" x14ac:dyDescent="0.25">
      <c r="A105" s="157" t="str">
        <f>'Salary Detail'!A115</f>
        <v/>
      </c>
      <c r="B105" s="53" t="str">
        <f>IF('Salary Detail'!P60="f",'Salary Detail'!C115,"")</f>
        <v/>
      </c>
      <c r="C105" s="53" t="str">
        <f>IF('Salary Detail'!P60="o",'Salary Detail'!C115,"")</f>
        <v/>
      </c>
      <c r="D105" s="53" t="str">
        <f>IF('Salary Detail'!P60="l",'Salary Detail'!C115,"")</f>
        <v/>
      </c>
      <c r="E105" s="53" t="str">
        <f>IF('Salary Detail'!P60="a",'Salary Detail'!C115,"")</f>
        <v/>
      </c>
      <c r="F105" s="53" t="str">
        <f>IF('Salary Detail'!P60="t",'Salary Detail'!C115,"")</f>
        <v/>
      </c>
      <c r="G105" s="53" t="str">
        <f>IF('Salary Detail'!P60="p",'Salary Detail'!C115,"")</f>
        <v/>
      </c>
      <c r="H105" s="53" t="str">
        <f>IF('Salary Detail'!P60="r",'Salary Detail'!C115,"")</f>
        <v/>
      </c>
      <c r="I105" s="53" t="str">
        <f>IF('Salary Detail'!P60="s",'Salary Detail'!C115,"")</f>
        <v/>
      </c>
      <c r="J105" s="53" t="str">
        <f>IF('Salary Detail'!P60="w",'Salary Detail'!C115,"")</f>
        <v/>
      </c>
      <c r="K105" s="53" t="str">
        <f>IF('Salary Detail'!P60="G",'Salary Detail'!C115,"")</f>
        <v/>
      </c>
      <c r="L105" s="53" t="str">
        <f>'Salary Detail'!E115</f>
        <v/>
      </c>
      <c r="M105" s="53" t="str">
        <f t="shared" si="3"/>
        <v/>
      </c>
    </row>
    <row r="106" spans="1:13" ht="13" customHeight="1" x14ac:dyDescent="0.25">
      <c r="A106" s="157" t="str">
        <f>'Salary Detail'!A116</f>
        <v/>
      </c>
      <c r="B106" s="53" t="str">
        <f>IF('Salary Detail'!P61="f",'Salary Detail'!C116,"")</f>
        <v/>
      </c>
      <c r="C106" s="53" t="str">
        <f>IF('Salary Detail'!P61="o",'Salary Detail'!C116,"")</f>
        <v/>
      </c>
      <c r="D106" s="53" t="str">
        <f>IF('Salary Detail'!P61="l",'Salary Detail'!C116,"")</f>
        <v/>
      </c>
      <c r="E106" s="53" t="str">
        <f>IF('Salary Detail'!P61="a",'Salary Detail'!C116,"")</f>
        <v/>
      </c>
      <c r="F106" s="53" t="str">
        <f>IF('Salary Detail'!P61="t",'Salary Detail'!C116,"")</f>
        <v/>
      </c>
      <c r="G106" s="53" t="str">
        <f>IF('Salary Detail'!P61="p",'Salary Detail'!C116,"")</f>
        <v/>
      </c>
      <c r="H106" s="53" t="str">
        <f>IF('Salary Detail'!P61="r",'Salary Detail'!C116,"")</f>
        <v/>
      </c>
      <c r="I106" s="53" t="str">
        <f>IF('Salary Detail'!P61="s",'Salary Detail'!C116,"")</f>
        <v/>
      </c>
      <c r="J106" s="53" t="str">
        <f>IF('Salary Detail'!P61="w",'Salary Detail'!C116,"")</f>
        <v/>
      </c>
      <c r="K106" s="53" t="str">
        <f>IF('Salary Detail'!P61="G",'Salary Detail'!C116,"")</f>
        <v/>
      </c>
      <c r="L106" s="53" t="str">
        <f>'Salary Detail'!E116</f>
        <v/>
      </c>
      <c r="M106" s="53" t="str">
        <f t="shared" si="3"/>
        <v/>
      </c>
    </row>
    <row r="107" spans="1:13" ht="13" customHeight="1" x14ac:dyDescent="0.25">
      <c r="A107" s="157" t="str">
        <f>'Salary Detail'!A117</f>
        <v/>
      </c>
      <c r="B107" s="53" t="str">
        <f>IF('Salary Detail'!P62="f",'Salary Detail'!C117,"")</f>
        <v/>
      </c>
      <c r="C107" s="53" t="str">
        <f>IF('Salary Detail'!P62="o",'Salary Detail'!C117,"")</f>
        <v/>
      </c>
      <c r="D107" s="53" t="str">
        <f>IF('Salary Detail'!P62="l",'Salary Detail'!C117,"")</f>
        <v/>
      </c>
      <c r="E107" s="53" t="str">
        <f>IF('Salary Detail'!P62="a",'Salary Detail'!C117,"")</f>
        <v/>
      </c>
      <c r="F107" s="53" t="str">
        <f>IF('Salary Detail'!P62="t",'Salary Detail'!C117,"")</f>
        <v/>
      </c>
      <c r="G107" s="53" t="str">
        <f>IF('Salary Detail'!P62="p",'Salary Detail'!C117,"")</f>
        <v/>
      </c>
      <c r="H107" s="53" t="str">
        <f>IF('Salary Detail'!P62="r",'Salary Detail'!C117,"")</f>
        <v/>
      </c>
      <c r="I107" s="53" t="str">
        <f>IF('Salary Detail'!P62="s",'Salary Detail'!C117,"")</f>
        <v/>
      </c>
      <c r="J107" s="53" t="str">
        <f>IF('Salary Detail'!P62="w",'Salary Detail'!C117,"")</f>
        <v/>
      </c>
      <c r="K107" s="53" t="str">
        <f>IF('Salary Detail'!P62="G",'Salary Detail'!C117,"")</f>
        <v/>
      </c>
      <c r="L107" s="53" t="str">
        <f>'Salary Detail'!E117</f>
        <v/>
      </c>
      <c r="M107" s="53" t="str">
        <f t="shared" si="3"/>
        <v/>
      </c>
    </row>
    <row r="108" spans="1:13" ht="13" customHeight="1" thickBot="1" x14ac:dyDescent="0.3">
      <c r="A108" s="158" t="str">
        <f>'Salary Detail'!A118</f>
        <v/>
      </c>
      <c r="B108" s="53" t="str">
        <f>IF('Salary Detail'!P63="f",'Salary Detail'!C118,"")</f>
        <v/>
      </c>
      <c r="C108" s="53" t="str">
        <f>IF('Salary Detail'!P63="o",'Salary Detail'!C118,"")</f>
        <v/>
      </c>
      <c r="D108" s="53" t="str">
        <f>IF('Salary Detail'!P63="l",'Salary Detail'!C118,"")</f>
        <v/>
      </c>
      <c r="E108" s="152" t="str">
        <f>IF('Salary Detail'!P63="a",'Salary Detail'!C118,"")</f>
        <v/>
      </c>
      <c r="F108" s="152" t="str">
        <f>IF('Salary Detail'!P63="t",'Salary Detail'!C118,"")</f>
        <v/>
      </c>
      <c r="G108" s="152" t="str">
        <f>IF('Salary Detail'!P63="p",'Salary Detail'!C118,"")</f>
        <v/>
      </c>
      <c r="H108" s="152" t="str">
        <f>IF('Salary Detail'!P63="r",'Salary Detail'!C118,"")</f>
        <v/>
      </c>
      <c r="I108" s="152" t="str">
        <f>IF('Salary Detail'!P63="s",'Salary Detail'!C118,"")</f>
        <v/>
      </c>
      <c r="J108" s="152" t="str">
        <f>IF('Salary Detail'!P63="w",'Salary Detail'!C118,"")</f>
        <v/>
      </c>
      <c r="K108" s="152" t="str">
        <f>IF('Salary Detail'!P63="G",'Salary Detail'!C118,"")</f>
        <v/>
      </c>
      <c r="L108" s="152" t="str">
        <f>'Salary Detail'!E118</f>
        <v/>
      </c>
      <c r="M108" s="152" t="str">
        <f t="shared" si="3"/>
        <v/>
      </c>
    </row>
    <row r="109" spans="1:13" ht="13" customHeight="1" x14ac:dyDescent="0.25">
      <c r="A109" s="75" t="s">
        <v>72</v>
      </c>
      <c r="B109" s="73" t="str">
        <f t="shared" ref="B109:K109" si="4">IF(SUM(B69:B108)=0,"",SUM(B69:B108))</f>
        <v/>
      </c>
      <c r="C109" s="73" t="str">
        <f t="shared" si="4"/>
        <v/>
      </c>
      <c r="D109" s="73" t="str">
        <f t="shared" si="4"/>
        <v/>
      </c>
      <c r="E109" s="73" t="str">
        <f t="shared" si="4"/>
        <v/>
      </c>
      <c r="F109" s="73" t="str">
        <f t="shared" si="4"/>
        <v/>
      </c>
      <c r="G109" s="73" t="str">
        <f t="shared" si="4"/>
        <v/>
      </c>
      <c r="H109" s="73" t="str">
        <f t="shared" si="4"/>
        <v/>
      </c>
      <c r="I109" s="73" t="str">
        <f t="shared" si="4"/>
        <v/>
      </c>
      <c r="J109" s="73" t="str">
        <f t="shared" si="4"/>
        <v/>
      </c>
      <c r="K109" s="73" t="str">
        <f t="shared" si="4"/>
        <v/>
      </c>
      <c r="L109" s="375"/>
      <c r="M109" s="73" t="str">
        <f>IF(SUM(M69:M108)=0,"",SUM(M69:M108))</f>
        <v/>
      </c>
    </row>
    <row r="110" spans="1:13" ht="13" customHeight="1" x14ac:dyDescent="0.3">
      <c r="A110" s="386" t="s">
        <v>280</v>
      </c>
      <c r="B110" s="94">
        <f>Year1Weight*VLOOKUP("F",FringeTable,2,FALSE)+Year2Weight*VLOOKUP("F",FringeTable,3,FALSE)+Year3Weight*VLOOKUP("F",FringeTable,4,FALSE)</f>
        <v>0.3</v>
      </c>
      <c r="C110" s="94">
        <f>Year1Weight*VLOOKUP("A",FringeTable,2,FALSE)+Year2Weight*VLOOKUP("A",FringeTable,3,FALSE)+Year3Weight*VLOOKUP("A",FringeTable,4,FALSE)</f>
        <v>0.38</v>
      </c>
      <c r="D110" s="94">
        <f>Year1Weight*VLOOKUP("A",FringeTable,2,FALSE)+Year2Weight*VLOOKUP("A",FringeTable,3,FALSE)+Year3Weight*VLOOKUP("A",FringeTable,4,FALSE)</f>
        <v>0.38</v>
      </c>
      <c r="E110" s="94">
        <f>Year1Weight*VLOOKUP("A",FringeTable,2,FALSE)+Year2Weight*VLOOKUP("A",FringeTable,3,FALSE)+Year3Weight*VLOOKUP("A",FringeTable,4,FALSE)</f>
        <v>0.38</v>
      </c>
      <c r="F110" s="94">
        <f>VLOOKUP("t",[0]!fringes,2,FALSE)</f>
        <v>0.24</v>
      </c>
      <c r="G110" s="94">
        <f>Year1Weight*VLOOKUP("P",FringeTable,2,FALSE)+Year2Weight*VLOOKUP("P",FringeTable,3,FALSE)+Year3Weight*VLOOKUP("P",FringeTable,4,FALSE)</f>
        <v>0.26</v>
      </c>
      <c r="H110" s="94">
        <f>VLOOKUP("r",[0]!fringes,2,FALSE)</f>
        <v>8.1000000000000003E-2</v>
      </c>
      <c r="I110" s="94">
        <f>VLOOKUP("s",[0]!fringes,2,FALSE)</f>
        <v>0.01</v>
      </c>
      <c r="J110" s="94">
        <f>VLOOKUP("w",[0]!fringes,2,FALSE)</f>
        <v>0.01</v>
      </c>
      <c r="K110" s="369" t="s">
        <v>261</v>
      </c>
      <c r="L110" s="51" t="str">
        <f>IF(SUM(B109:K109)=0,"",SUM(B109:K109))</f>
        <v/>
      </c>
      <c r="M110" s="372" t="s">
        <v>22</v>
      </c>
    </row>
    <row r="111" spans="1:13" ht="13" customHeight="1" x14ac:dyDescent="0.3">
      <c r="A111" s="49" t="s">
        <v>73</v>
      </c>
      <c r="B111" s="51" t="str">
        <f>IF(SUMIF('Salary Detail'!$P$24:$P$63,"f",'Salary Detail'!$E$79:$E$118)=0,"",SUMIF('Salary Detail'!$P$24:$P$63,"f",'Salary Detail'!$E$79:$E$118))</f>
        <v/>
      </c>
      <c r="C111" s="51" t="str">
        <f>IF(SUMIF('Salary Detail'!$P$24:$P$63,"O",'Salary Detail'!$E$79:$E$118)=0,"",SUMIF('Salary Detail'!$P$24:$P$63,"O",'Salary Detail'!$E$79:$E$118))</f>
        <v/>
      </c>
      <c r="D111" s="51" t="str">
        <f>IF(SUMIF('Salary Detail'!$P$24:$P$63,"L",'Salary Detail'!$E$79:$E$118)=0,"",SUMIF('Salary Detail'!$P$24:$P$63,"L",'Salary Detail'!$E$79:$E$118))</f>
        <v/>
      </c>
      <c r="E111" s="51" t="str">
        <f>IF(SUMIF('Salary Detail'!$P$24:$P$63,"a",'Salary Detail'!$E$79:$E$118)=0,"",SUMIF('Salary Detail'!$P$24:$P$63,"a",'Salary Detail'!$E$79:$E$118))</f>
        <v/>
      </c>
      <c r="F111" s="51" t="str">
        <f>IF(SUMIF('Salary Detail'!$P$24:$P$63,"t",'Salary Detail'!$E$79:$E$118)=0,"",SUMIF('Salary Detail'!$P$24:$P$63,"t",'Salary Detail'!$E$79:$E$118))</f>
        <v/>
      </c>
      <c r="G111" s="51" t="str">
        <f>IF(SUMIF('Salary Detail'!$P$24:$P$63,"p",'Salary Detail'!$E$79:$E$118)=0,"",SUMIF('Salary Detail'!$P$24:$P$63,"p",'Salary Detail'!$E$79:$E$118))</f>
        <v/>
      </c>
      <c r="H111" s="51" t="str">
        <f>IF(SUMIF('Salary Detail'!$P$24:$P$63,"r",'Salary Detail'!$E$79:$E$118)=0,"",SUMIF('Salary Detail'!$P$24:$P$63,"r",'Salary Detail'!$E$79:$E$118))</f>
        <v/>
      </c>
      <c r="I111" s="51" t="str">
        <f>IF(SUMIF('Salary Detail'!$P$24:$P$63,"s",'Salary Detail'!$E$79:$E$118)=0,"",SUMIF('Salary Detail'!$P$24:$P$63,"s",'Salary Detail'!$E$79:$E$118))</f>
        <v/>
      </c>
      <c r="J111" s="51" t="str">
        <f>IF(SUMIF('Salary Detail'!$P$24:$P$63,"w",'Salary Detail'!$E$79:$E$118)=0,"",SUMIF('Salary Detail'!$P$24:$P$63,"w",'Salary Detail'!$E$79:$E$118))</f>
        <v/>
      </c>
      <c r="K111" s="51" t="str">
        <f>IF(SUMIF('Salary Detail'!$P$24:$P$63,"g",'Salary Detail'!$E$79:$E$118)=0,"",SUMIF('Salary Detail'!$P$24:$P$63,"g",'Salary Detail'!$E$79:$E$118))</f>
        <v/>
      </c>
      <c r="L111" s="376" t="str">
        <f>IF(SUM(B111:K111)=0,"",SUM(B111:K111))</f>
        <v/>
      </c>
      <c r="M111" s="373" t="s">
        <v>81</v>
      </c>
    </row>
    <row r="112" spans="1:13" ht="13" customHeight="1" thickBot="1" x14ac:dyDescent="0.35">
      <c r="A112" s="153" t="s">
        <v>74</v>
      </c>
      <c r="B112" s="154" t="str">
        <f t="shared" ref="B112:K112" si="5">IFERROR(B109+B111,"")</f>
        <v/>
      </c>
      <c r="C112" s="154" t="str">
        <f t="shared" si="5"/>
        <v/>
      </c>
      <c r="D112" s="154" t="str">
        <f t="shared" si="5"/>
        <v/>
      </c>
      <c r="E112" s="154" t="str">
        <f t="shared" si="5"/>
        <v/>
      </c>
      <c r="F112" s="154" t="str">
        <f t="shared" si="5"/>
        <v/>
      </c>
      <c r="G112" s="154" t="str">
        <f t="shared" si="5"/>
        <v/>
      </c>
      <c r="H112" s="154" t="str">
        <f t="shared" si="5"/>
        <v/>
      </c>
      <c r="I112" s="154" t="str">
        <f t="shared" si="5"/>
        <v/>
      </c>
      <c r="J112" s="154" t="str">
        <f t="shared" si="5"/>
        <v/>
      </c>
      <c r="K112" s="154" t="str">
        <f t="shared" si="5"/>
        <v/>
      </c>
      <c r="L112" s="371" t="str">
        <f>IF(SUM(B112:K112)=0,"",SUM(B112:K112))</f>
        <v/>
      </c>
      <c r="M112" s="385" t="s">
        <v>279</v>
      </c>
    </row>
    <row r="113" spans="1:13" ht="13" customHeight="1" x14ac:dyDescent="0.3">
      <c r="A113" s="59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387"/>
      <c r="M113" s="388"/>
    </row>
    <row r="114" spans="1:13" ht="21" customHeight="1" x14ac:dyDescent="0.3">
      <c r="A114" s="972" t="s">
        <v>278</v>
      </c>
      <c r="B114" s="971"/>
      <c r="C114" s="971"/>
      <c r="D114" s="971"/>
      <c r="E114" s="971"/>
      <c r="F114" s="971"/>
      <c r="G114" s="971"/>
      <c r="H114" s="971"/>
      <c r="I114" s="971"/>
      <c r="J114" s="971"/>
      <c r="K114" s="971"/>
      <c r="L114" s="971"/>
      <c r="M114" s="971"/>
    </row>
    <row r="115" spans="1:13" ht="13" customHeight="1" x14ac:dyDescent="0.3">
      <c r="A115" s="2" t="s">
        <v>65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1:13" ht="12" customHeight="1" x14ac:dyDescent="0.3">
      <c r="A116" s="23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1:13" ht="12.75" customHeight="1" x14ac:dyDescent="0.25">
      <c r="E117" s="77" t="s">
        <v>138</v>
      </c>
      <c r="F117" s="967" t="str">
        <f>IF('Salary Detail'!E5=0,"",'Salary Detail'!E5)</f>
        <v/>
      </c>
      <c r="G117" s="943"/>
      <c r="H117" s="943"/>
      <c r="I117" s="943"/>
      <c r="J117" s="159"/>
      <c r="K117" s="159"/>
      <c r="L117" s="159"/>
    </row>
    <row r="118" spans="1:13" x14ac:dyDescent="0.25">
      <c r="E118" s="77" t="s">
        <v>8</v>
      </c>
      <c r="F118" s="967" t="str">
        <f>IF('Salary Detail'!E6=0,"",'Salary Detail'!E6)</f>
        <v/>
      </c>
      <c r="G118" s="943"/>
      <c r="H118" s="943"/>
      <c r="I118" s="943"/>
      <c r="J118" s="159"/>
      <c r="K118" s="159"/>
      <c r="L118" s="159"/>
      <c r="M118" s="78"/>
    </row>
    <row r="119" spans="1:13" x14ac:dyDescent="0.25">
      <c r="E119" s="77" t="s">
        <v>122</v>
      </c>
      <c r="F119" s="967" t="str">
        <f>IF('Salary Detail'!E7=0,"",'Salary Detail'!E7)</f>
        <v/>
      </c>
      <c r="G119" s="943"/>
      <c r="H119" s="943"/>
      <c r="I119" s="943"/>
      <c r="J119" s="147"/>
      <c r="K119" s="147"/>
      <c r="L119" s="147"/>
      <c r="M119" s="78"/>
    </row>
    <row r="120" spans="1:13" x14ac:dyDescent="0.25">
      <c r="E120" s="77" t="s">
        <v>10</v>
      </c>
      <c r="F120" s="967" t="str">
        <f>IF('Salary Detail'!E8=0,"",'Salary Detail'!E8)</f>
        <v/>
      </c>
      <c r="G120" s="943"/>
      <c r="H120" s="943"/>
      <c r="I120" s="943"/>
      <c r="J120" s="147"/>
      <c r="K120" s="147"/>
      <c r="L120" s="147"/>
    </row>
    <row r="121" spans="1:13" x14ac:dyDescent="0.25">
      <c r="A121" s="77"/>
      <c r="B121" s="62"/>
      <c r="C121" s="62"/>
      <c r="D121" s="62"/>
      <c r="G121" s="77"/>
      <c r="H121" s="7"/>
    </row>
    <row r="122" spans="1:13" ht="13" x14ac:dyDescent="0.3">
      <c r="A122" s="381" t="s">
        <v>281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5"/>
    </row>
    <row r="123" spans="1:13" x14ac:dyDescent="0.25">
      <c r="A123" s="49"/>
      <c r="B123" s="50" t="s">
        <v>67</v>
      </c>
      <c r="C123" s="56" t="s">
        <v>274</v>
      </c>
      <c r="D123" s="56" t="s">
        <v>275</v>
      </c>
      <c r="E123" s="56" t="s">
        <v>273</v>
      </c>
      <c r="F123" s="50" t="s">
        <v>69</v>
      </c>
      <c r="G123" s="56" t="s">
        <v>116</v>
      </c>
      <c r="H123" s="70" t="s">
        <v>135</v>
      </c>
      <c r="I123" s="6" t="s">
        <v>70</v>
      </c>
      <c r="J123" s="50" t="s">
        <v>71</v>
      </c>
      <c r="K123" s="56" t="s">
        <v>253</v>
      </c>
      <c r="L123" s="56" t="s">
        <v>23</v>
      </c>
      <c r="M123" s="50" t="s">
        <v>46</v>
      </c>
    </row>
    <row r="124" spans="1:13" x14ac:dyDescent="0.25">
      <c r="A124" s="156" t="str">
        <f>'Salary Detail'!A133</f>
        <v/>
      </c>
      <c r="B124" s="53" t="str">
        <f>IF('Salary Detail'!P24="f",'Salary Detail'!L79,"")</f>
        <v/>
      </c>
      <c r="C124" s="53" t="str">
        <f>IF('Salary Detail'!P24="o",'Salary Detail'!L79,"")</f>
        <v/>
      </c>
      <c r="D124" s="53" t="str">
        <f>IF('Salary Detail'!P24="l",'Salary Detail'!L79,"")</f>
        <v/>
      </c>
      <c r="E124" s="52" t="str">
        <f>IF('Salary Detail'!P24="a",'Salary Detail'!L79,"")</f>
        <v/>
      </c>
      <c r="F124" s="52" t="str">
        <f>IF('Salary Detail'!P24="t",'Salary Detail'!L79,"")</f>
        <v/>
      </c>
      <c r="G124" s="52" t="str">
        <f>IF('Salary Detail'!P24="p",'Salary Detail'!L79,"")</f>
        <v/>
      </c>
      <c r="H124" s="52" t="str">
        <f>IF('Salary Detail'!P24="r",'Salary Detail'!L79,"")</f>
        <v/>
      </c>
      <c r="I124" s="52" t="str">
        <f>IF('Salary Detail'!P24="s",'Salary Detail'!L79,"")</f>
        <v/>
      </c>
      <c r="J124" s="52" t="str">
        <f>IF('Salary Detail'!P24="w",'Salary Detail'!L79,"")</f>
        <v/>
      </c>
      <c r="K124" s="52" t="str">
        <f>IF('Salary Detail'!P24="G",'Salary Detail'!L79,"")</f>
        <v/>
      </c>
      <c r="L124" s="52" t="str">
        <f>'Salary Detail'!M79</f>
        <v/>
      </c>
      <c r="M124" s="54" t="str">
        <f t="shared" ref="M124:M163" si="6">IF(SUM(B124:L124)=0,"",SUM(B124:L124))</f>
        <v/>
      </c>
    </row>
    <row r="125" spans="1:13" x14ac:dyDescent="0.25">
      <c r="A125" s="157" t="str">
        <f>'Salary Detail'!A134</f>
        <v/>
      </c>
      <c r="B125" s="53" t="str">
        <f>IF('Salary Detail'!P25="f",'Salary Detail'!L80,"")</f>
        <v/>
      </c>
      <c r="C125" s="53" t="str">
        <f>IF('Salary Detail'!P25="o",'Salary Detail'!L80,"")</f>
        <v/>
      </c>
      <c r="D125" s="53" t="str">
        <f>IF('Salary Detail'!P25="l",'Salary Detail'!L80,"")</f>
        <v/>
      </c>
      <c r="E125" s="53" t="str">
        <f>IF('Salary Detail'!P25="a",'Salary Detail'!L80,"")</f>
        <v/>
      </c>
      <c r="F125" s="53" t="str">
        <f>IF('Salary Detail'!P25="t",'Salary Detail'!L80,"")</f>
        <v/>
      </c>
      <c r="G125" s="53" t="str">
        <f>IF('Salary Detail'!P25="p",'Salary Detail'!L80,"")</f>
        <v/>
      </c>
      <c r="H125" s="53" t="str">
        <f>IF('Salary Detail'!P25="r",'Salary Detail'!L80,"")</f>
        <v/>
      </c>
      <c r="I125" s="53" t="str">
        <f>IF('Salary Detail'!P25="s",'Salary Detail'!L80,"")</f>
        <v/>
      </c>
      <c r="J125" s="53" t="str">
        <f>IF('Salary Detail'!P25="w",'Salary Detail'!L80,"")</f>
        <v/>
      </c>
      <c r="K125" s="53" t="str">
        <f>IF('Salary Detail'!P25="G",'Salary Detail'!L80,"")</f>
        <v/>
      </c>
      <c r="L125" s="53" t="str">
        <f>'Salary Detail'!M80</f>
        <v/>
      </c>
      <c r="M125" s="55" t="str">
        <f t="shared" si="6"/>
        <v/>
      </c>
    </row>
    <row r="126" spans="1:13" x14ac:dyDescent="0.25">
      <c r="A126" s="157" t="str">
        <f>'Salary Detail'!A135</f>
        <v/>
      </c>
      <c r="B126" s="53" t="str">
        <f>IF('Salary Detail'!P26="f",'Salary Detail'!L81,"")</f>
        <v/>
      </c>
      <c r="C126" s="53" t="str">
        <f>IF('Salary Detail'!P26="o",'Salary Detail'!L81,"")</f>
        <v/>
      </c>
      <c r="D126" s="53" t="str">
        <f>IF('Salary Detail'!P26="l",'Salary Detail'!L81,"")</f>
        <v/>
      </c>
      <c r="E126" s="53" t="str">
        <f>IF('Salary Detail'!P26="a",'Salary Detail'!L81,"")</f>
        <v/>
      </c>
      <c r="F126" s="53" t="str">
        <f>IF('Salary Detail'!P26="t",'Salary Detail'!L81,"")</f>
        <v/>
      </c>
      <c r="G126" s="53" t="str">
        <f>IF('Salary Detail'!P26="p",'Salary Detail'!L81,"")</f>
        <v/>
      </c>
      <c r="H126" s="53" t="str">
        <f>IF('Salary Detail'!P26="r",'Salary Detail'!L81,"")</f>
        <v/>
      </c>
      <c r="I126" s="53" t="str">
        <f>IF('Salary Detail'!P26="s",'Salary Detail'!L81,"")</f>
        <v/>
      </c>
      <c r="J126" s="53" t="str">
        <f>IF('Salary Detail'!P26="w",'Salary Detail'!L81,"")</f>
        <v/>
      </c>
      <c r="K126" s="53" t="str">
        <f>IF('Salary Detail'!P26="G",'Salary Detail'!L81,"")</f>
        <v/>
      </c>
      <c r="L126" s="53" t="str">
        <f>'Salary Detail'!M81</f>
        <v/>
      </c>
      <c r="M126" s="55" t="str">
        <f t="shared" si="6"/>
        <v/>
      </c>
    </row>
    <row r="127" spans="1:13" x14ac:dyDescent="0.25">
      <c r="A127" s="157" t="str">
        <f>'Salary Detail'!A136</f>
        <v/>
      </c>
      <c r="B127" s="53" t="str">
        <f>IF('Salary Detail'!P27="f",'Salary Detail'!L82,"")</f>
        <v/>
      </c>
      <c r="C127" s="53" t="str">
        <f>IF('Salary Detail'!P27="o",'Salary Detail'!L82,"")</f>
        <v/>
      </c>
      <c r="D127" s="53" t="str">
        <f>IF('Salary Detail'!P27="l",'Salary Detail'!L82,"")</f>
        <v/>
      </c>
      <c r="E127" s="53" t="str">
        <f>IF('Salary Detail'!P27="a",'Salary Detail'!L82,"")</f>
        <v/>
      </c>
      <c r="F127" s="53" t="str">
        <f>IF('Salary Detail'!P27="t",'Salary Detail'!L82,"")</f>
        <v/>
      </c>
      <c r="G127" s="53" t="str">
        <f>IF('Salary Detail'!P27="p",'Salary Detail'!L82,"")</f>
        <v/>
      </c>
      <c r="H127" s="53" t="str">
        <f>IF('Salary Detail'!P27="r",'Salary Detail'!L82,"")</f>
        <v/>
      </c>
      <c r="I127" s="53" t="str">
        <f>IF('Salary Detail'!P27="s",'Salary Detail'!L82,"")</f>
        <v/>
      </c>
      <c r="J127" s="53" t="str">
        <f>IF('Salary Detail'!P27="w",'Salary Detail'!L82,"")</f>
        <v/>
      </c>
      <c r="K127" s="53" t="str">
        <f>IF('Salary Detail'!P27="G",'Salary Detail'!L82,"")</f>
        <v/>
      </c>
      <c r="L127" s="53" t="str">
        <f>'Salary Detail'!M82</f>
        <v/>
      </c>
      <c r="M127" s="55" t="str">
        <f t="shared" si="6"/>
        <v/>
      </c>
    </row>
    <row r="128" spans="1:13" x14ac:dyDescent="0.25">
      <c r="A128" s="157" t="str">
        <f>'Salary Detail'!A137</f>
        <v/>
      </c>
      <c r="B128" s="53" t="str">
        <f>IF('Salary Detail'!P28="f",'Salary Detail'!L83,"")</f>
        <v/>
      </c>
      <c r="C128" s="53" t="str">
        <f>IF('Salary Detail'!P28="o",'Salary Detail'!L83,"")</f>
        <v/>
      </c>
      <c r="D128" s="53" t="str">
        <f>IF('Salary Detail'!P28="l",'Salary Detail'!L83,"")</f>
        <v/>
      </c>
      <c r="E128" s="53" t="str">
        <f>IF('Salary Detail'!P28="a",'Salary Detail'!L83,"")</f>
        <v/>
      </c>
      <c r="F128" s="53" t="str">
        <f>IF('Salary Detail'!P28="t",'Salary Detail'!L83,"")</f>
        <v/>
      </c>
      <c r="G128" s="53" t="str">
        <f>IF('Salary Detail'!P28="p",'Salary Detail'!L83,"")</f>
        <v/>
      </c>
      <c r="H128" s="53" t="str">
        <f>IF('Salary Detail'!P28="r",'Salary Detail'!L83,"")</f>
        <v/>
      </c>
      <c r="I128" s="53" t="str">
        <f>IF('Salary Detail'!P28="s",'Salary Detail'!L83,"")</f>
        <v/>
      </c>
      <c r="J128" s="53" t="str">
        <f>IF('Salary Detail'!P28="w",'Salary Detail'!L83,"")</f>
        <v/>
      </c>
      <c r="K128" s="53" t="str">
        <f>IF('Salary Detail'!P28="G",'Salary Detail'!L83,"")</f>
        <v/>
      </c>
      <c r="L128" s="53" t="str">
        <f>'Salary Detail'!M83</f>
        <v/>
      </c>
      <c r="M128" s="55" t="str">
        <f t="shared" si="6"/>
        <v/>
      </c>
    </row>
    <row r="129" spans="1:13" x14ac:dyDescent="0.25">
      <c r="A129" s="157" t="str">
        <f>'Salary Detail'!A138</f>
        <v/>
      </c>
      <c r="B129" s="53" t="str">
        <f>IF('Salary Detail'!P29="f",'Salary Detail'!L84,"")</f>
        <v/>
      </c>
      <c r="C129" s="53" t="str">
        <f>IF('Salary Detail'!P29="o",'Salary Detail'!L84,"")</f>
        <v/>
      </c>
      <c r="D129" s="53" t="str">
        <f>IF('Salary Detail'!P29="l",'Salary Detail'!L84,"")</f>
        <v/>
      </c>
      <c r="E129" s="53" t="str">
        <f>IF('Salary Detail'!P29="a",'Salary Detail'!L84,"")</f>
        <v/>
      </c>
      <c r="F129" s="53" t="str">
        <f>IF('Salary Detail'!P29="t",'Salary Detail'!L84,"")</f>
        <v/>
      </c>
      <c r="G129" s="53" t="str">
        <f>IF('Salary Detail'!P29="p",'Salary Detail'!L84,"")</f>
        <v/>
      </c>
      <c r="H129" s="53" t="str">
        <f>IF('Salary Detail'!P29="r",'Salary Detail'!L84,"")</f>
        <v/>
      </c>
      <c r="I129" s="53" t="str">
        <f>IF('Salary Detail'!P29="s",'Salary Detail'!L84,"")</f>
        <v/>
      </c>
      <c r="J129" s="53" t="str">
        <f>IF('Salary Detail'!P29="w",'Salary Detail'!L84,"")</f>
        <v/>
      </c>
      <c r="K129" s="53" t="str">
        <f>IF('Salary Detail'!P29="G",'Salary Detail'!L84,"")</f>
        <v/>
      </c>
      <c r="L129" s="53" t="str">
        <f>'Salary Detail'!M84</f>
        <v/>
      </c>
      <c r="M129" s="55" t="str">
        <f t="shared" si="6"/>
        <v/>
      </c>
    </row>
    <row r="130" spans="1:13" x14ac:dyDescent="0.25">
      <c r="A130" s="157" t="str">
        <f>'Salary Detail'!A139</f>
        <v/>
      </c>
      <c r="B130" s="53" t="str">
        <f>IF('Salary Detail'!P30="f",'Salary Detail'!L85,"")</f>
        <v/>
      </c>
      <c r="C130" s="53" t="str">
        <f>IF('Salary Detail'!P30="o",'Salary Detail'!L85,"")</f>
        <v/>
      </c>
      <c r="D130" s="53" t="str">
        <f>IF('Salary Detail'!P30="l",'Salary Detail'!L85,"")</f>
        <v/>
      </c>
      <c r="E130" s="53" t="str">
        <f>IF('Salary Detail'!P30="a",'Salary Detail'!L85,"")</f>
        <v/>
      </c>
      <c r="F130" s="53" t="str">
        <f>IF('Salary Detail'!P30="t",'Salary Detail'!L85,"")</f>
        <v/>
      </c>
      <c r="G130" s="53" t="str">
        <f>IF('Salary Detail'!P30="p",'Salary Detail'!L85,"")</f>
        <v/>
      </c>
      <c r="H130" s="53" t="str">
        <f>IF('Salary Detail'!P30="r",'Salary Detail'!L85,"")</f>
        <v/>
      </c>
      <c r="I130" s="53" t="str">
        <f>IF('Salary Detail'!P30="s",'Salary Detail'!L85,"")</f>
        <v/>
      </c>
      <c r="J130" s="53" t="str">
        <f>IF('Salary Detail'!P30="w",'Salary Detail'!L85,"")</f>
        <v/>
      </c>
      <c r="K130" s="53" t="str">
        <f>IF('Salary Detail'!P30="G",'Salary Detail'!L85,"")</f>
        <v/>
      </c>
      <c r="L130" s="53" t="str">
        <f>'Salary Detail'!M85</f>
        <v/>
      </c>
      <c r="M130" s="55" t="str">
        <f t="shared" si="6"/>
        <v/>
      </c>
    </row>
    <row r="131" spans="1:13" x14ac:dyDescent="0.25">
      <c r="A131" s="157" t="str">
        <f>'Salary Detail'!A140</f>
        <v/>
      </c>
      <c r="B131" s="53" t="str">
        <f>IF('Salary Detail'!P31="f",'Salary Detail'!L86,"")</f>
        <v/>
      </c>
      <c r="C131" s="53" t="str">
        <f>IF('Salary Detail'!P31="o",'Salary Detail'!L86,"")</f>
        <v/>
      </c>
      <c r="D131" s="53" t="str">
        <f>IF('Salary Detail'!P31="l",'Salary Detail'!L86,"")</f>
        <v/>
      </c>
      <c r="E131" s="53" t="str">
        <f>IF('Salary Detail'!P31="a",'Salary Detail'!L86,"")</f>
        <v/>
      </c>
      <c r="F131" s="53" t="str">
        <f>IF('Salary Detail'!P31="t",'Salary Detail'!L86,"")</f>
        <v/>
      </c>
      <c r="G131" s="53" t="str">
        <f>IF('Salary Detail'!P31="p",'Salary Detail'!L86,"")</f>
        <v/>
      </c>
      <c r="H131" s="53" t="str">
        <f>IF('Salary Detail'!P31="r",'Salary Detail'!L86,"")</f>
        <v/>
      </c>
      <c r="I131" s="53" t="str">
        <f>IF('Salary Detail'!P31="s",'Salary Detail'!L86,"")</f>
        <v/>
      </c>
      <c r="J131" s="53" t="str">
        <f>IF('Salary Detail'!P31="w",'Salary Detail'!L86,"")</f>
        <v/>
      </c>
      <c r="K131" s="53" t="str">
        <f>IF('Salary Detail'!P31="G",'Salary Detail'!L86,"")</f>
        <v/>
      </c>
      <c r="L131" s="53" t="str">
        <f>'Salary Detail'!M86</f>
        <v/>
      </c>
      <c r="M131" s="55" t="str">
        <f t="shared" si="6"/>
        <v/>
      </c>
    </row>
    <row r="132" spans="1:13" x14ac:dyDescent="0.25">
      <c r="A132" s="157" t="str">
        <f>'Salary Detail'!A141</f>
        <v/>
      </c>
      <c r="B132" s="53" t="str">
        <f>IF('Salary Detail'!P32="f",'Salary Detail'!L87,"")</f>
        <v/>
      </c>
      <c r="C132" s="53" t="str">
        <f>IF('Salary Detail'!P32="o",'Salary Detail'!L87,"")</f>
        <v/>
      </c>
      <c r="D132" s="53" t="str">
        <f>IF('Salary Detail'!P32="l",'Salary Detail'!L87,"")</f>
        <v/>
      </c>
      <c r="E132" s="53" t="str">
        <f>IF('Salary Detail'!P32="a",'Salary Detail'!L87,"")</f>
        <v/>
      </c>
      <c r="F132" s="53" t="str">
        <f>IF('Salary Detail'!P32="t",'Salary Detail'!L87,"")</f>
        <v/>
      </c>
      <c r="G132" s="53" t="str">
        <f>IF('Salary Detail'!P32="p",'Salary Detail'!L87,"")</f>
        <v/>
      </c>
      <c r="H132" s="53" t="str">
        <f>IF('Salary Detail'!P32="r",'Salary Detail'!L87,"")</f>
        <v/>
      </c>
      <c r="I132" s="53" t="str">
        <f>IF('Salary Detail'!P32="s",'Salary Detail'!L87,"")</f>
        <v/>
      </c>
      <c r="J132" s="53" t="str">
        <f>IF('Salary Detail'!P32="w",'Salary Detail'!L87,"")</f>
        <v/>
      </c>
      <c r="K132" s="53" t="str">
        <f>IF('Salary Detail'!P32="G",'Salary Detail'!L87,"")</f>
        <v/>
      </c>
      <c r="L132" s="53" t="str">
        <f>'Salary Detail'!M87</f>
        <v/>
      </c>
      <c r="M132" s="55" t="str">
        <f t="shared" si="6"/>
        <v/>
      </c>
    </row>
    <row r="133" spans="1:13" x14ac:dyDescent="0.25">
      <c r="A133" s="157" t="str">
        <f>'Salary Detail'!A142</f>
        <v/>
      </c>
      <c r="B133" s="53" t="str">
        <f>IF('Salary Detail'!P33="f",'Salary Detail'!L88,"")</f>
        <v/>
      </c>
      <c r="C133" s="53" t="str">
        <f>IF('Salary Detail'!P33="o",'Salary Detail'!L88,"")</f>
        <v/>
      </c>
      <c r="D133" s="53" t="str">
        <f>IF('Salary Detail'!P33="l",'Salary Detail'!L88,"")</f>
        <v/>
      </c>
      <c r="E133" s="53" t="str">
        <f>IF('Salary Detail'!P33="a",'Salary Detail'!L88,"")</f>
        <v/>
      </c>
      <c r="F133" s="53" t="str">
        <f>IF('Salary Detail'!P33="t",'Salary Detail'!L88,"")</f>
        <v/>
      </c>
      <c r="G133" s="53" t="str">
        <f>IF('Salary Detail'!P33="p",'Salary Detail'!L88,"")</f>
        <v/>
      </c>
      <c r="H133" s="53" t="str">
        <f>IF('Salary Detail'!P33="r",'Salary Detail'!L88,"")</f>
        <v/>
      </c>
      <c r="I133" s="53" t="str">
        <f>IF('Salary Detail'!P33="s",'Salary Detail'!L88,"")</f>
        <v/>
      </c>
      <c r="J133" s="53" t="str">
        <f>IF('Salary Detail'!P33="w",'Salary Detail'!L88,"")</f>
        <v/>
      </c>
      <c r="K133" s="53" t="str">
        <f>IF('Salary Detail'!P33="G",'Salary Detail'!L88,"")</f>
        <v/>
      </c>
      <c r="L133" s="53" t="str">
        <f>'Salary Detail'!M88</f>
        <v/>
      </c>
      <c r="M133" s="55" t="str">
        <f t="shared" si="6"/>
        <v/>
      </c>
    </row>
    <row r="134" spans="1:13" x14ac:dyDescent="0.25">
      <c r="A134" s="157" t="str">
        <f>'Salary Detail'!A143</f>
        <v/>
      </c>
      <c r="B134" s="53" t="str">
        <f>IF('Salary Detail'!P34="f",'Salary Detail'!L89,"")</f>
        <v/>
      </c>
      <c r="C134" s="53" t="str">
        <f>IF('Salary Detail'!P34="o",'Salary Detail'!L89,"")</f>
        <v/>
      </c>
      <c r="D134" s="53" t="str">
        <f>IF('Salary Detail'!P34="l",'Salary Detail'!L89,"")</f>
        <v/>
      </c>
      <c r="E134" s="53" t="str">
        <f>IF('Salary Detail'!P34="a",'Salary Detail'!L89,"")</f>
        <v/>
      </c>
      <c r="F134" s="53" t="str">
        <f>IF('Salary Detail'!P34="t",'Salary Detail'!L89,"")</f>
        <v/>
      </c>
      <c r="G134" s="53" t="str">
        <f>IF('Salary Detail'!P34="p",'Salary Detail'!L89,"")</f>
        <v/>
      </c>
      <c r="H134" s="53" t="str">
        <f>IF('Salary Detail'!P34="r",'Salary Detail'!L89,"")</f>
        <v/>
      </c>
      <c r="I134" s="53" t="str">
        <f>IF('Salary Detail'!P34="s",'Salary Detail'!L89,"")</f>
        <v/>
      </c>
      <c r="J134" s="53" t="str">
        <f>IF('Salary Detail'!P34="w",'Salary Detail'!L89,"")</f>
        <v/>
      </c>
      <c r="K134" s="53" t="str">
        <f>IF('Salary Detail'!P34="G",'Salary Detail'!L89,"")</f>
        <v/>
      </c>
      <c r="L134" s="53" t="str">
        <f>'Salary Detail'!M89</f>
        <v/>
      </c>
      <c r="M134" s="55" t="str">
        <f t="shared" si="6"/>
        <v/>
      </c>
    </row>
    <row r="135" spans="1:13" x14ac:dyDescent="0.25">
      <c r="A135" s="157" t="str">
        <f>'Salary Detail'!A144</f>
        <v/>
      </c>
      <c r="B135" s="53" t="str">
        <f>IF('Salary Detail'!P35="f",'Salary Detail'!L90,"")</f>
        <v/>
      </c>
      <c r="C135" s="53" t="str">
        <f>IF('Salary Detail'!P35="o",'Salary Detail'!L90,"")</f>
        <v/>
      </c>
      <c r="D135" s="53" t="str">
        <f>IF('Salary Detail'!P35="l",'Salary Detail'!L90,"")</f>
        <v/>
      </c>
      <c r="E135" s="53" t="str">
        <f>IF('Salary Detail'!P35="a",'Salary Detail'!L90,"")</f>
        <v/>
      </c>
      <c r="F135" s="53" t="str">
        <f>IF('Salary Detail'!P35="t",'Salary Detail'!L90,"")</f>
        <v/>
      </c>
      <c r="G135" s="53" t="str">
        <f>IF('Salary Detail'!P35="p",'Salary Detail'!L90,"")</f>
        <v/>
      </c>
      <c r="H135" s="53" t="str">
        <f>IF('Salary Detail'!P35="r",'Salary Detail'!L90,"")</f>
        <v/>
      </c>
      <c r="I135" s="53" t="str">
        <f>IF('Salary Detail'!P35="s",'Salary Detail'!L90,"")</f>
        <v/>
      </c>
      <c r="J135" s="53" t="str">
        <f>IF('Salary Detail'!P35="w",'Salary Detail'!L90,"")</f>
        <v/>
      </c>
      <c r="K135" s="53" t="str">
        <f>IF('Salary Detail'!P35="G",'Salary Detail'!L90,"")</f>
        <v/>
      </c>
      <c r="L135" s="53" t="str">
        <f>'Salary Detail'!M90</f>
        <v/>
      </c>
      <c r="M135" s="55" t="str">
        <f t="shared" si="6"/>
        <v/>
      </c>
    </row>
    <row r="136" spans="1:13" x14ac:dyDescent="0.25">
      <c r="A136" s="157" t="str">
        <f>'Salary Detail'!A145</f>
        <v/>
      </c>
      <c r="B136" s="53" t="str">
        <f>IF('Salary Detail'!P36="f",'Salary Detail'!L91,"")</f>
        <v/>
      </c>
      <c r="C136" s="53" t="str">
        <f>IF('Salary Detail'!P36="o",'Salary Detail'!L91,"")</f>
        <v/>
      </c>
      <c r="D136" s="53" t="str">
        <f>IF('Salary Detail'!P36="l",'Salary Detail'!L91,"")</f>
        <v/>
      </c>
      <c r="E136" s="53" t="str">
        <f>IF('Salary Detail'!P36="a",'Salary Detail'!L91,"")</f>
        <v/>
      </c>
      <c r="F136" s="53" t="str">
        <f>IF('Salary Detail'!P36="t",'Salary Detail'!L91,"")</f>
        <v/>
      </c>
      <c r="G136" s="53" t="str">
        <f>IF('Salary Detail'!P36="p",'Salary Detail'!L91,"")</f>
        <v/>
      </c>
      <c r="H136" s="53" t="str">
        <f>IF('Salary Detail'!P36="r",'Salary Detail'!L91,"")</f>
        <v/>
      </c>
      <c r="I136" s="53" t="str">
        <f>IF('Salary Detail'!P36="s",'Salary Detail'!L91,"")</f>
        <v/>
      </c>
      <c r="J136" s="53" t="str">
        <f>IF('Salary Detail'!P36="w",'Salary Detail'!L91,"")</f>
        <v/>
      </c>
      <c r="K136" s="53" t="str">
        <f>IF('Salary Detail'!P36="G",'Salary Detail'!L91,"")</f>
        <v/>
      </c>
      <c r="L136" s="53" t="str">
        <f>'Salary Detail'!M91</f>
        <v/>
      </c>
      <c r="M136" s="55" t="str">
        <f t="shared" si="6"/>
        <v/>
      </c>
    </row>
    <row r="137" spans="1:13" x14ac:dyDescent="0.25">
      <c r="A137" s="157" t="str">
        <f>'Salary Detail'!A146</f>
        <v/>
      </c>
      <c r="B137" s="53" t="str">
        <f>IF('Salary Detail'!P37="f",'Salary Detail'!L92,"")</f>
        <v/>
      </c>
      <c r="C137" s="53" t="str">
        <f>IF('Salary Detail'!P37="o",'Salary Detail'!L92,"")</f>
        <v/>
      </c>
      <c r="D137" s="53" t="str">
        <f>IF('Salary Detail'!P37="l",'Salary Detail'!L92,"")</f>
        <v/>
      </c>
      <c r="E137" s="53" t="str">
        <f>IF('Salary Detail'!P37="a",'Salary Detail'!L92,"")</f>
        <v/>
      </c>
      <c r="F137" s="53" t="str">
        <f>IF('Salary Detail'!P37="t",'Salary Detail'!L92,"")</f>
        <v/>
      </c>
      <c r="G137" s="53" t="str">
        <f>IF('Salary Detail'!P37="p",'Salary Detail'!L92,"")</f>
        <v/>
      </c>
      <c r="H137" s="53" t="str">
        <f>IF('Salary Detail'!P37="r",'Salary Detail'!L92,"")</f>
        <v/>
      </c>
      <c r="I137" s="53" t="str">
        <f>IF('Salary Detail'!P37="s",'Salary Detail'!L92,"")</f>
        <v/>
      </c>
      <c r="J137" s="53" t="str">
        <f>IF('Salary Detail'!P37="w",'Salary Detail'!L92,"")</f>
        <v/>
      </c>
      <c r="K137" s="53" t="str">
        <f>IF('Salary Detail'!P37="G",'Salary Detail'!L92,"")</f>
        <v/>
      </c>
      <c r="L137" s="53" t="str">
        <f>'Salary Detail'!M92</f>
        <v/>
      </c>
      <c r="M137" s="55" t="str">
        <f t="shared" si="6"/>
        <v/>
      </c>
    </row>
    <row r="138" spans="1:13" x14ac:dyDescent="0.25">
      <c r="A138" s="157" t="str">
        <f>'Salary Detail'!A147</f>
        <v/>
      </c>
      <c r="B138" s="53" t="str">
        <f>IF('Salary Detail'!P38="f",'Salary Detail'!L93,"")</f>
        <v/>
      </c>
      <c r="C138" s="53" t="str">
        <f>IF('Salary Detail'!P38="o",'Salary Detail'!L93,"")</f>
        <v/>
      </c>
      <c r="D138" s="53" t="str">
        <f>IF('Salary Detail'!P38="l",'Salary Detail'!L93,"")</f>
        <v/>
      </c>
      <c r="E138" s="53" t="str">
        <f>IF('Salary Detail'!P38="a",'Salary Detail'!L93,"")</f>
        <v/>
      </c>
      <c r="F138" s="53" t="str">
        <f>IF('Salary Detail'!P38="t",'Salary Detail'!L93,"")</f>
        <v/>
      </c>
      <c r="G138" s="53" t="str">
        <f>IF('Salary Detail'!P38="p",'Salary Detail'!L93,"")</f>
        <v/>
      </c>
      <c r="H138" s="53" t="str">
        <f>IF('Salary Detail'!P38="r",'Salary Detail'!L93,"")</f>
        <v/>
      </c>
      <c r="I138" s="53" t="str">
        <f>IF('Salary Detail'!P38="s",'Salary Detail'!L93,"")</f>
        <v/>
      </c>
      <c r="J138" s="53" t="str">
        <f>IF('Salary Detail'!P38="w",'Salary Detail'!L93,"")</f>
        <v/>
      </c>
      <c r="K138" s="53" t="str">
        <f>IF('Salary Detail'!P38="G",'Salary Detail'!L93,"")</f>
        <v/>
      </c>
      <c r="L138" s="53" t="str">
        <f>'Salary Detail'!M93</f>
        <v/>
      </c>
      <c r="M138" s="55" t="str">
        <f t="shared" si="6"/>
        <v/>
      </c>
    </row>
    <row r="139" spans="1:13" x14ac:dyDescent="0.25">
      <c r="A139" s="157" t="str">
        <f>'Salary Detail'!A148</f>
        <v/>
      </c>
      <c r="B139" s="53" t="str">
        <f>IF('Salary Detail'!P39="f",'Salary Detail'!L94,"")</f>
        <v/>
      </c>
      <c r="C139" s="53" t="str">
        <f>IF('Salary Detail'!P39="o",'Salary Detail'!L94,"")</f>
        <v/>
      </c>
      <c r="D139" s="53" t="str">
        <f>IF('Salary Detail'!P39="l",'Salary Detail'!L94,"")</f>
        <v/>
      </c>
      <c r="E139" s="53" t="str">
        <f>IF('Salary Detail'!P39="a",'Salary Detail'!L94,"")</f>
        <v/>
      </c>
      <c r="F139" s="53" t="str">
        <f>IF('Salary Detail'!P39="t",'Salary Detail'!L94,"")</f>
        <v/>
      </c>
      <c r="G139" s="53" t="str">
        <f>IF('Salary Detail'!P39="p",'Salary Detail'!L94,"")</f>
        <v/>
      </c>
      <c r="H139" s="53" t="str">
        <f>IF('Salary Detail'!P39="r",'Salary Detail'!L94,"")</f>
        <v/>
      </c>
      <c r="I139" s="53" t="str">
        <f>IF('Salary Detail'!P39="s",'Salary Detail'!L94,"")</f>
        <v/>
      </c>
      <c r="J139" s="53" t="str">
        <f>IF('Salary Detail'!P39="w",'Salary Detail'!L94,"")</f>
        <v/>
      </c>
      <c r="K139" s="53" t="str">
        <f>IF('Salary Detail'!P39="G",'Salary Detail'!L94,"")</f>
        <v/>
      </c>
      <c r="L139" s="53" t="str">
        <f>'Salary Detail'!M94</f>
        <v/>
      </c>
      <c r="M139" s="55" t="str">
        <f t="shared" si="6"/>
        <v/>
      </c>
    </row>
    <row r="140" spans="1:13" x14ac:dyDescent="0.25">
      <c r="A140" s="157" t="str">
        <f>'Salary Detail'!A149</f>
        <v/>
      </c>
      <c r="B140" s="53" t="str">
        <f>IF('Salary Detail'!P40="f",'Salary Detail'!L95,"")</f>
        <v/>
      </c>
      <c r="C140" s="53" t="str">
        <f>IF('Salary Detail'!P40="o",'Salary Detail'!L95,"")</f>
        <v/>
      </c>
      <c r="D140" s="53" t="str">
        <f>IF('Salary Detail'!P40="l",'Salary Detail'!L95,"")</f>
        <v/>
      </c>
      <c r="E140" s="53" t="str">
        <f>IF('Salary Detail'!P40="a",'Salary Detail'!L95,"")</f>
        <v/>
      </c>
      <c r="F140" s="53" t="str">
        <f>IF('Salary Detail'!P40="t",'Salary Detail'!L95,"")</f>
        <v/>
      </c>
      <c r="G140" s="53" t="str">
        <f>IF('Salary Detail'!P40="p",'Salary Detail'!L95,"")</f>
        <v/>
      </c>
      <c r="H140" s="53" t="str">
        <f>IF('Salary Detail'!P40="r",'Salary Detail'!L95,"")</f>
        <v/>
      </c>
      <c r="I140" s="53" t="str">
        <f>IF('Salary Detail'!P40="s",'Salary Detail'!L95,"")</f>
        <v/>
      </c>
      <c r="J140" s="53" t="str">
        <f>IF('Salary Detail'!P40="w",'Salary Detail'!L95,"")</f>
        <v/>
      </c>
      <c r="K140" s="53" t="str">
        <f>IF('Salary Detail'!P40="G",'Salary Detail'!L95,"")</f>
        <v/>
      </c>
      <c r="L140" s="53" t="str">
        <f>'Salary Detail'!M95</f>
        <v/>
      </c>
      <c r="M140" s="55" t="str">
        <f t="shared" si="6"/>
        <v/>
      </c>
    </row>
    <row r="141" spans="1:13" x14ac:dyDescent="0.25">
      <c r="A141" s="157" t="str">
        <f>'Salary Detail'!A150</f>
        <v/>
      </c>
      <c r="B141" s="53" t="str">
        <f>IF('Salary Detail'!P41="f",'Salary Detail'!L96,"")</f>
        <v/>
      </c>
      <c r="C141" s="53" t="str">
        <f>IF('Salary Detail'!P41="o",'Salary Detail'!L96,"")</f>
        <v/>
      </c>
      <c r="D141" s="53" t="str">
        <f>IF('Salary Detail'!P41="l",'Salary Detail'!L96,"")</f>
        <v/>
      </c>
      <c r="E141" s="53" t="str">
        <f>IF('Salary Detail'!P41="a",'Salary Detail'!L96,"")</f>
        <v/>
      </c>
      <c r="F141" s="53" t="str">
        <f>IF('Salary Detail'!P41="t",'Salary Detail'!L96,"")</f>
        <v/>
      </c>
      <c r="G141" s="53" t="str">
        <f>IF('Salary Detail'!P41="p",'Salary Detail'!L96,"")</f>
        <v/>
      </c>
      <c r="H141" s="53" t="str">
        <f>IF('Salary Detail'!P41="r",'Salary Detail'!L96,"")</f>
        <v/>
      </c>
      <c r="I141" s="53" t="str">
        <f>IF('Salary Detail'!P41="s",'Salary Detail'!L96,"")</f>
        <v/>
      </c>
      <c r="J141" s="53" t="str">
        <f>IF('Salary Detail'!P41="w",'Salary Detail'!L96,"")</f>
        <v/>
      </c>
      <c r="K141" s="53" t="str">
        <f>IF('Salary Detail'!P41="G",'Salary Detail'!L96,"")</f>
        <v/>
      </c>
      <c r="L141" s="53" t="str">
        <f>'Salary Detail'!M96</f>
        <v/>
      </c>
      <c r="M141" s="55" t="str">
        <f t="shared" si="6"/>
        <v/>
      </c>
    </row>
    <row r="142" spans="1:13" x14ac:dyDescent="0.25">
      <c r="A142" s="157" t="str">
        <f>'Salary Detail'!A151</f>
        <v/>
      </c>
      <c r="B142" s="53" t="str">
        <f>IF('Salary Detail'!P42="f",'Salary Detail'!L97,"")</f>
        <v/>
      </c>
      <c r="C142" s="53" t="str">
        <f>IF('Salary Detail'!P42="o",'Salary Detail'!L97,"")</f>
        <v/>
      </c>
      <c r="D142" s="53" t="str">
        <f>IF('Salary Detail'!P42="l",'Salary Detail'!L97,"")</f>
        <v/>
      </c>
      <c r="E142" s="53" t="str">
        <f>IF('Salary Detail'!P42="a",'Salary Detail'!L97,"")</f>
        <v/>
      </c>
      <c r="F142" s="53" t="str">
        <f>IF('Salary Detail'!P42="t",'Salary Detail'!L97,"")</f>
        <v/>
      </c>
      <c r="G142" s="53" t="str">
        <f>IF('Salary Detail'!P42="p",'Salary Detail'!L97,"")</f>
        <v/>
      </c>
      <c r="H142" s="53" t="str">
        <f>IF('Salary Detail'!P42="r",'Salary Detail'!L97,"")</f>
        <v/>
      </c>
      <c r="I142" s="53" t="str">
        <f>IF('Salary Detail'!P42="s",'Salary Detail'!L97,"")</f>
        <v/>
      </c>
      <c r="J142" s="53" t="str">
        <f>IF('Salary Detail'!P42="w",'Salary Detail'!L97,"")</f>
        <v/>
      </c>
      <c r="K142" s="53" t="str">
        <f>IF('Salary Detail'!P42="G",'Salary Detail'!L97,"")</f>
        <v/>
      </c>
      <c r="L142" s="53" t="str">
        <f>'Salary Detail'!M97</f>
        <v/>
      </c>
      <c r="M142" s="55" t="str">
        <f t="shared" si="6"/>
        <v/>
      </c>
    </row>
    <row r="143" spans="1:13" x14ac:dyDescent="0.25">
      <c r="A143" s="157" t="str">
        <f>'Salary Detail'!A152</f>
        <v/>
      </c>
      <c r="B143" s="53" t="str">
        <f>IF('Salary Detail'!P43="f",'Salary Detail'!L98,"")</f>
        <v/>
      </c>
      <c r="C143" s="53" t="str">
        <f>IF('Salary Detail'!P43="o",'Salary Detail'!L98,"")</f>
        <v/>
      </c>
      <c r="D143" s="53" t="str">
        <f>IF('Salary Detail'!P43="l",'Salary Detail'!L98,"")</f>
        <v/>
      </c>
      <c r="E143" s="53" t="str">
        <f>IF('Salary Detail'!P43="a",'Salary Detail'!L98,"")</f>
        <v/>
      </c>
      <c r="F143" s="53" t="str">
        <f>IF('Salary Detail'!P43="t",'Salary Detail'!L98,"")</f>
        <v/>
      </c>
      <c r="G143" s="53" t="str">
        <f>IF('Salary Detail'!P43="p",'Salary Detail'!L98,"")</f>
        <v/>
      </c>
      <c r="H143" s="53" t="str">
        <f>IF('Salary Detail'!P43="r",'Salary Detail'!L98,"")</f>
        <v/>
      </c>
      <c r="I143" s="53" t="str">
        <f>IF('Salary Detail'!P43="s",'Salary Detail'!L98,"")</f>
        <v/>
      </c>
      <c r="J143" s="53" t="str">
        <f>IF('Salary Detail'!P43="w",'Salary Detail'!L98,"")</f>
        <v/>
      </c>
      <c r="K143" s="53" t="str">
        <f>IF('Salary Detail'!P43="G",'Salary Detail'!L98,"")</f>
        <v/>
      </c>
      <c r="L143" s="53" t="str">
        <f>'Salary Detail'!M98</f>
        <v/>
      </c>
      <c r="M143" s="55" t="str">
        <f t="shared" si="6"/>
        <v/>
      </c>
    </row>
    <row r="144" spans="1:13" x14ac:dyDescent="0.25">
      <c r="A144" s="157" t="str">
        <f>'Salary Detail'!A153</f>
        <v/>
      </c>
      <c r="B144" s="53" t="str">
        <f>IF('Salary Detail'!P44="f",'Salary Detail'!L99,"")</f>
        <v/>
      </c>
      <c r="C144" s="53" t="str">
        <f>IF('Salary Detail'!P44="o",'Salary Detail'!L99,"")</f>
        <v/>
      </c>
      <c r="D144" s="53" t="str">
        <f>IF('Salary Detail'!P44="l",'Salary Detail'!L99,"")</f>
        <v/>
      </c>
      <c r="E144" s="53" t="str">
        <f>IF('Salary Detail'!P44="a",'Salary Detail'!L99,"")</f>
        <v/>
      </c>
      <c r="F144" s="53" t="str">
        <f>IF('Salary Detail'!P44="t",'Salary Detail'!L99,"")</f>
        <v/>
      </c>
      <c r="G144" s="53" t="str">
        <f>IF('Salary Detail'!P44="p",'Salary Detail'!L99,"")</f>
        <v/>
      </c>
      <c r="H144" s="53" t="str">
        <f>IF('Salary Detail'!P44="r",'Salary Detail'!L99,"")</f>
        <v/>
      </c>
      <c r="I144" s="53" t="str">
        <f>IF('Salary Detail'!P44="s",'Salary Detail'!L99,"")</f>
        <v/>
      </c>
      <c r="J144" s="53" t="str">
        <f>IF('Salary Detail'!P44="w",'Salary Detail'!L99,"")</f>
        <v/>
      </c>
      <c r="K144" s="53" t="str">
        <f>IF('Salary Detail'!P44="G",'Salary Detail'!L99,"")</f>
        <v/>
      </c>
      <c r="L144" s="53" t="str">
        <f>'Salary Detail'!M99</f>
        <v/>
      </c>
      <c r="M144" s="55" t="str">
        <f t="shared" si="6"/>
        <v/>
      </c>
    </row>
    <row r="145" spans="1:13" x14ac:dyDescent="0.25">
      <c r="A145" s="157" t="str">
        <f>'Salary Detail'!A154</f>
        <v/>
      </c>
      <c r="B145" s="53" t="str">
        <f>IF('Salary Detail'!P45="f",'Salary Detail'!L100,"")</f>
        <v/>
      </c>
      <c r="C145" s="53" t="str">
        <f>IF('Salary Detail'!P45="o",'Salary Detail'!L100,"")</f>
        <v/>
      </c>
      <c r="D145" s="53" t="str">
        <f>IF('Salary Detail'!P45="l",'Salary Detail'!L100,"")</f>
        <v/>
      </c>
      <c r="E145" s="53" t="str">
        <f>IF('Salary Detail'!P45="a",'Salary Detail'!L100,"")</f>
        <v/>
      </c>
      <c r="F145" s="53" t="str">
        <f>IF('Salary Detail'!P45="t",'Salary Detail'!L100,"")</f>
        <v/>
      </c>
      <c r="G145" s="53" t="str">
        <f>IF('Salary Detail'!P45="p",'Salary Detail'!L100,"")</f>
        <v/>
      </c>
      <c r="H145" s="53" t="str">
        <f>IF('Salary Detail'!P45="r",'Salary Detail'!L100,"")</f>
        <v/>
      </c>
      <c r="I145" s="53" t="str">
        <f>IF('Salary Detail'!P45="s",'Salary Detail'!L100,"")</f>
        <v/>
      </c>
      <c r="J145" s="53" t="str">
        <f>IF('Salary Detail'!P45="w",'Salary Detail'!L100,"")</f>
        <v/>
      </c>
      <c r="K145" s="53" t="str">
        <f>IF('Salary Detail'!P45="G",'Salary Detail'!L100,"")</f>
        <v/>
      </c>
      <c r="L145" s="53" t="str">
        <f>'Salary Detail'!M100</f>
        <v/>
      </c>
      <c r="M145" s="55" t="str">
        <f t="shared" si="6"/>
        <v/>
      </c>
    </row>
    <row r="146" spans="1:13" x14ac:dyDescent="0.25">
      <c r="A146" s="157" t="str">
        <f>'Salary Detail'!A155</f>
        <v/>
      </c>
      <c r="B146" s="53" t="str">
        <f>IF('Salary Detail'!P46="f",'Salary Detail'!L101,"")</f>
        <v/>
      </c>
      <c r="C146" s="53" t="str">
        <f>IF('Salary Detail'!P46="o",'Salary Detail'!L101,"")</f>
        <v/>
      </c>
      <c r="D146" s="53" t="str">
        <f>IF('Salary Detail'!P46="l",'Salary Detail'!L101,"")</f>
        <v/>
      </c>
      <c r="E146" s="53" t="str">
        <f>IF('Salary Detail'!P46="a",'Salary Detail'!L101,"")</f>
        <v/>
      </c>
      <c r="F146" s="53" t="str">
        <f>IF('Salary Detail'!P46="t",'Salary Detail'!L101,"")</f>
        <v/>
      </c>
      <c r="G146" s="53" t="str">
        <f>IF('Salary Detail'!P46="p",'Salary Detail'!L101,"")</f>
        <v/>
      </c>
      <c r="H146" s="53" t="str">
        <f>IF('Salary Detail'!P46="r",'Salary Detail'!L101,"")</f>
        <v/>
      </c>
      <c r="I146" s="53" t="str">
        <f>IF('Salary Detail'!P46="s",'Salary Detail'!L101,"")</f>
        <v/>
      </c>
      <c r="J146" s="53" t="str">
        <f>IF('Salary Detail'!P46="w",'Salary Detail'!L101,"")</f>
        <v/>
      </c>
      <c r="K146" s="53" t="str">
        <f>IF('Salary Detail'!P46="G",'Salary Detail'!L101,"")</f>
        <v/>
      </c>
      <c r="L146" s="53" t="str">
        <f>'Salary Detail'!M101</f>
        <v/>
      </c>
      <c r="M146" s="55" t="str">
        <f t="shared" si="6"/>
        <v/>
      </c>
    </row>
    <row r="147" spans="1:13" x14ac:dyDescent="0.25">
      <c r="A147" s="157" t="str">
        <f>'Salary Detail'!A156</f>
        <v/>
      </c>
      <c r="B147" s="53" t="str">
        <f>IF('Salary Detail'!P47="f",'Salary Detail'!L102,"")</f>
        <v/>
      </c>
      <c r="C147" s="53" t="str">
        <f>IF('Salary Detail'!P47="o",'Salary Detail'!L102,"")</f>
        <v/>
      </c>
      <c r="D147" s="53" t="str">
        <f>IF('Salary Detail'!P47="l",'Salary Detail'!L102,"")</f>
        <v/>
      </c>
      <c r="E147" s="53" t="str">
        <f>IF('Salary Detail'!P47="a",'Salary Detail'!L102,"")</f>
        <v/>
      </c>
      <c r="F147" s="53" t="str">
        <f>IF('Salary Detail'!P47="t",'Salary Detail'!L102,"")</f>
        <v/>
      </c>
      <c r="G147" s="53" t="str">
        <f>IF('Salary Detail'!P47="p",'Salary Detail'!L102,"")</f>
        <v/>
      </c>
      <c r="H147" s="53" t="str">
        <f>IF('Salary Detail'!P47="r",'Salary Detail'!L102,"")</f>
        <v/>
      </c>
      <c r="I147" s="53" t="str">
        <f>IF('Salary Detail'!P47="s",'Salary Detail'!L102,"")</f>
        <v/>
      </c>
      <c r="J147" s="53" t="str">
        <f>IF('Salary Detail'!P47="w",'Salary Detail'!L102,"")</f>
        <v/>
      </c>
      <c r="K147" s="53" t="str">
        <f>IF('Salary Detail'!P47="G",'Salary Detail'!L102,"")</f>
        <v/>
      </c>
      <c r="L147" s="53" t="str">
        <f>'Salary Detail'!M102</f>
        <v/>
      </c>
      <c r="M147" s="55" t="str">
        <f t="shared" si="6"/>
        <v/>
      </c>
    </row>
    <row r="148" spans="1:13" x14ac:dyDescent="0.25">
      <c r="A148" s="157" t="str">
        <f>'Salary Detail'!A157</f>
        <v/>
      </c>
      <c r="B148" s="53" t="str">
        <f>IF('Salary Detail'!P48="f",'Salary Detail'!L103,"")</f>
        <v/>
      </c>
      <c r="C148" s="53" t="str">
        <f>IF('Salary Detail'!P48="o",'Salary Detail'!L103,"")</f>
        <v/>
      </c>
      <c r="D148" s="53" t="str">
        <f>IF('Salary Detail'!P48="l",'Salary Detail'!L103,"")</f>
        <v/>
      </c>
      <c r="E148" s="53" t="str">
        <f>IF('Salary Detail'!P48="a",'Salary Detail'!L103,"")</f>
        <v/>
      </c>
      <c r="F148" s="53" t="str">
        <f>IF('Salary Detail'!P48="t",'Salary Detail'!L103,"")</f>
        <v/>
      </c>
      <c r="G148" s="53" t="str">
        <f>IF('Salary Detail'!P48="p",'Salary Detail'!L103,"")</f>
        <v/>
      </c>
      <c r="H148" s="53" t="str">
        <f>IF('Salary Detail'!P48="r",'Salary Detail'!L103,"")</f>
        <v/>
      </c>
      <c r="I148" s="53" t="str">
        <f>IF('Salary Detail'!P48="s",'Salary Detail'!L103,"")</f>
        <v/>
      </c>
      <c r="J148" s="53" t="str">
        <f>IF('Salary Detail'!P48="w",'Salary Detail'!L103,"")</f>
        <v/>
      </c>
      <c r="K148" s="53" t="str">
        <f>IF('Salary Detail'!P48="G",'Salary Detail'!L103,"")</f>
        <v/>
      </c>
      <c r="L148" s="53" t="str">
        <f>'Salary Detail'!M103</f>
        <v/>
      </c>
      <c r="M148" s="55" t="str">
        <f t="shared" si="6"/>
        <v/>
      </c>
    </row>
    <row r="149" spans="1:13" x14ac:dyDescent="0.25">
      <c r="A149" s="157" t="str">
        <f>'Salary Detail'!A158</f>
        <v/>
      </c>
      <c r="B149" s="53" t="str">
        <f>IF('Salary Detail'!P49="f",'Salary Detail'!L104,"")</f>
        <v/>
      </c>
      <c r="C149" s="53" t="str">
        <f>IF('Salary Detail'!P49="o",'Salary Detail'!L104,"")</f>
        <v/>
      </c>
      <c r="D149" s="53" t="str">
        <f>IF('Salary Detail'!P49="l",'Salary Detail'!L104,"")</f>
        <v/>
      </c>
      <c r="E149" s="53" t="str">
        <f>IF('Salary Detail'!P49="a",'Salary Detail'!L104,"")</f>
        <v/>
      </c>
      <c r="F149" s="53" t="str">
        <f>IF('Salary Detail'!P49="t",'Salary Detail'!L104,"")</f>
        <v/>
      </c>
      <c r="G149" s="53" t="str">
        <f>IF('Salary Detail'!P49="p",'Salary Detail'!L104,"")</f>
        <v/>
      </c>
      <c r="H149" s="53" t="str">
        <f>IF('Salary Detail'!P49="r",'Salary Detail'!L104,"")</f>
        <v/>
      </c>
      <c r="I149" s="53" t="str">
        <f>IF('Salary Detail'!P49="s",'Salary Detail'!L104,"")</f>
        <v/>
      </c>
      <c r="J149" s="53" t="str">
        <f>IF('Salary Detail'!P49="w",'Salary Detail'!L104,"")</f>
        <v/>
      </c>
      <c r="K149" s="53" t="str">
        <f>IF('Salary Detail'!P49="G",'Salary Detail'!L104,"")</f>
        <v/>
      </c>
      <c r="L149" s="53" t="str">
        <f>'Salary Detail'!M104</f>
        <v/>
      </c>
      <c r="M149" s="55" t="str">
        <f t="shared" si="6"/>
        <v/>
      </c>
    </row>
    <row r="150" spans="1:13" x14ac:dyDescent="0.25">
      <c r="A150" s="157" t="str">
        <f>'Salary Detail'!A159</f>
        <v/>
      </c>
      <c r="B150" s="53" t="str">
        <f>IF('Salary Detail'!P50="f",'Salary Detail'!L105,"")</f>
        <v/>
      </c>
      <c r="C150" s="53" t="str">
        <f>IF('Salary Detail'!P50="o",'Salary Detail'!L105,"")</f>
        <v/>
      </c>
      <c r="D150" s="53" t="str">
        <f>IF('Salary Detail'!P50="l",'Salary Detail'!L105,"")</f>
        <v/>
      </c>
      <c r="E150" s="53" t="str">
        <f>IF('Salary Detail'!P50="a",'Salary Detail'!L105,"")</f>
        <v/>
      </c>
      <c r="F150" s="53" t="str">
        <f>IF('Salary Detail'!P50="t",'Salary Detail'!L105,"")</f>
        <v/>
      </c>
      <c r="G150" s="53" t="str">
        <f>IF('Salary Detail'!P50="p",'Salary Detail'!L105,"")</f>
        <v/>
      </c>
      <c r="H150" s="53" t="str">
        <f>IF('Salary Detail'!P50="r",'Salary Detail'!L105,"")</f>
        <v/>
      </c>
      <c r="I150" s="53" t="str">
        <f>IF('Salary Detail'!P50="s",'Salary Detail'!L105,"")</f>
        <v/>
      </c>
      <c r="J150" s="53" t="str">
        <f>IF('Salary Detail'!P50="w",'Salary Detail'!L105,"")</f>
        <v/>
      </c>
      <c r="K150" s="53" t="str">
        <f>IF('Salary Detail'!P50="G",'Salary Detail'!L105,"")</f>
        <v/>
      </c>
      <c r="L150" s="53" t="str">
        <f>'Salary Detail'!M105</f>
        <v/>
      </c>
      <c r="M150" s="55" t="str">
        <f t="shared" si="6"/>
        <v/>
      </c>
    </row>
    <row r="151" spans="1:13" x14ac:dyDescent="0.25">
      <c r="A151" s="157" t="str">
        <f>'Salary Detail'!A160</f>
        <v/>
      </c>
      <c r="B151" s="53" t="str">
        <f>IF('Salary Detail'!P51="f",'Salary Detail'!L106,"")</f>
        <v/>
      </c>
      <c r="C151" s="53" t="str">
        <f>IF('Salary Detail'!P51="o",'Salary Detail'!L106,"")</f>
        <v/>
      </c>
      <c r="D151" s="53" t="str">
        <f>IF('Salary Detail'!P51="l",'Salary Detail'!L106,"")</f>
        <v/>
      </c>
      <c r="E151" s="53" t="str">
        <f>IF('Salary Detail'!P51="a",'Salary Detail'!L106,"")</f>
        <v/>
      </c>
      <c r="F151" s="53" t="str">
        <f>IF('Salary Detail'!P51="t",'Salary Detail'!L106,"")</f>
        <v/>
      </c>
      <c r="G151" s="53" t="str">
        <f>IF('Salary Detail'!P51="p",'Salary Detail'!L106,"")</f>
        <v/>
      </c>
      <c r="H151" s="53" t="str">
        <f>IF('Salary Detail'!P51="r",'Salary Detail'!L106,"")</f>
        <v/>
      </c>
      <c r="I151" s="53" t="str">
        <f>IF('Salary Detail'!P51="s",'Salary Detail'!L106,"")</f>
        <v/>
      </c>
      <c r="J151" s="53" t="str">
        <f>IF('Salary Detail'!P51="w",'Salary Detail'!L106,"")</f>
        <v/>
      </c>
      <c r="K151" s="53" t="str">
        <f>IF('Salary Detail'!P51="G",'Salary Detail'!L106,"")</f>
        <v/>
      </c>
      <c r="L151" s="53" t="str">
        <f>'Salary Detail'!M106</f>
        <v/>
      </c>
      <c r="M151" s="55" t="str">
        <f t="shared" si="6"/>
        <v/>
      </c>
    </row>
    <row r="152" spans="1:13" x14ac:dyDescent="0.25">
      <c r="A152" s="157" t="str">
        <f>'Salary Detail'!A161</f>
        <v/>
      </c>
      <c r="B152" s="53" t="str">
        <f>IF('Salary Detail'!P52="f",'Salary Detail'!L107,"")</f>
        <v/>
      </c>
      <c r="C152" s="53" t="str">
        <f>IF('Salary Detail'!P52="o",'Salary Detail'!L107,"")</f>
        <v/>
      </c>
      <c r="D152" s="53" t="str">
        <f>IF('Salary Detail'!P52="l",'Salary Detail'!L107,"")</f>
        <v/>
      </c>
      <c r="E152" s="53" t="str">
        <f>IF('Salary Detail'!P52="a",'Salary Detail'!L107,"")</f>
        <v/>
      </c>
      <c r="F152" s="53" t="str">
        <f>IF('Salary Detail'!P52="t",'Salary Detail'!L107,"")</f>
        <v/>
      </c>
      <c r="G152" s="53" t="str">
        <f>IF('Salary Detail'!P52="p",'Salary Detail'!L107,"")</f>
        <v/>
      </c>
      <c r="H152" s="53" t="str">
        <f>IF('Salary Detail'!P52="r",'Salary Detail'!L107,"")</f>
        <v/>
      </c>
      <c r="I152" s="53" t="str">
        <f>IF('Salary Detail'!P52="s",'Salary Detail'!L107,"")</f>
        <v/>
      </c>
      <c r="J152" s="53" t="str">
        <f>IF('Salary Detail'!P52="w",'Salary Detail'!L107,"")</f>
        <v/>
      </c>
      <c r="K152" s="53" t="str">
        <f>IF('Salary Detail'!P52="G",'Salary Detail'!L107,"")</f>
        <v/>
      </c>
      <c r="L152" s="53" t="str">
        <f>'Salary Detail'!M107</f>
        <v/>
      </c>
      <c r="M152" s="55" t="str">
        <f t="shared" si="6"/>
        <v/>
      </c>
    </row>
    <row r="153" spans="1:13" x14ac:dyDescent="0.25">
      <c r="A153" s="157" t="str">
        <f>'Salary Detail'!A162</f>
        <v/>
      </c>
      <c r="B153" s="53" t="str">
        <f>IF('Salary Detail'!P53="f",'Salary Detail'!L108,"")</f>
        <v/>
      </c>
      <c r="C153" s="53" t="str">
        <f>IF('Salary Detail'!P53="o",'Salary Detail'!L108,"")</f>
        <v/>
      </c>
      <c r="D153" s="53" t="str">
        <f>IF('Salary Detail'!P53="l",'Salary Detail'!L108,"")</f>
        <v/>
      </c>
      <c r="E153" s="53" t="str">
        <f>IF('Salary Detail'!P53="a",'Salary Detail'!L108,"")</f>
        <v/>
      </c>
      <c r="F153" s="53" t="str">
        <f>IF('Salary Detail'!P53="t",'Salary Detail'!L108,"")</f>
        <v/>
      </c>
      <c r="G153" s="53" t="str">
        <f>IF('Salary Detail'!P53="p",'Salary Detail'!L108,"")</f>
        <v/>
      </c>
      <c r="H153" s="53" t="str">
        <f>IF('Salary Detail'!P53="r",'Salary Detail'!L108,"")</f>
        <v/>
      </c>
      <c r="I153" s="53" t="str">
        <f>IF('Salary Detail'!P53="s",'Salary Detail'!L108,"")</f>
        <v/>
      </c>
      <c r="J153" s="53" t="str">
        <f>IF('Salary Detail'!P53="w",'Salary Detail'!L108,"")</f>
        <v/>
      </c>
      <c r="K153" s="53" t="str">
        <f>IF('Salary Detail'!P53="G",'Salary Detail'!L108,"")</f>
        <v/>
      </c>
      <c r="L153" s="53" t="str">
        <f>'Salary Detail'!M108</f>
        <v/>
      </c>
      <c r="M153" s="55" t="str">
        <f t="shared" si="6"/>
        <v/>
      </c>
    </row>
    <row r="154" spans="1:13" x14ac:dyDescent="0.25">
      <c r="A154" s="157" t="str">
        <f>'Salary Detail'!A163</f>
        <v/>
      </c>
      <c r="B154" s="53" t="str">
        <f>IF('Salary Detail'!P54="f",'Salary Detail'!L109,"")</f>
        <v/>
      </c>
      <c r="C154" s="53" t="str">
        <f>IF('Salary Detail'!P54="o",'Salary Detail'!L109,"")</f>
        <v/>
      </c>
      <c r="D154" s="53" t="str">
        <f>IF('Salary Detail'!P54="l",'Salary Detail'!L109,"")</f>
        <v/>
      </c>
      <c r="E154" s="53" t="str">
        <f>IF('Salary Detail'!P54="a",'Salary Detail'!L109,"")</f>
        <v/>
      </c>
      <c r="F154" s="53" t="str">
        <f>IF('Salary Detail'!P54="t",'Salary Detail'!L109,"")</f>
        <v/>
      </c>
      <c r="G154" s="53" t="str">
        <f>IF('Salary Detail'!P54="p",'Salary Detail'!L109,"")</f>
        <v/>
      </c>
      <c r="H154" s="53" t="str">
        <f>IF('Salary Detail'!P54="r",'Salary Detail'!L109,"")</f>
        <v/>
      </c>
      <c r="I154" s="53" t="str">
        <f>IF('Salary Detail'!P54="s",'Salary Detail'!L109,"")</f>
        <v/>
      </c>
      <c r="J154" s="53" t="str">
        <f>IF('Salary Detail'!P54="w",'Salary Detail'!L109,"")</f>
        <v/>
      </c>
      <c r="K154" s="53" t="str">
        <f>IF('Salary Detail'!P54="G",'Salary Detail'!L109,"")</f>
        <v/>
      </c>
      <c r="L154" s="53" t="str">
        <f>'Salary Detail'!M109</f>
        <v/>
      </c>
      <c r="M154" s="55" t="str">
        <f t="shared" si="6"/>
        <v/>
      </c>
    </row>
    <row r="155" spans="1:13" x14ac:dyDescent="0.25">
      <c r="A155" s="157" t="str">
        <f>'Salary Detail'!A164</f>
        <v/>
      </c>
      <c r="B155" s="53" t="str">
        <f>IF('Salary Detail'!P55="f",'Salary Detail'!L110,"")</f>
        <v/>
      </c>
      <c r="C155" s="53" t="str">
        <f>IF('Salary Detail'!P55="o",'Salary Detail'!L110,"")</f>
        <v/>
      </c>
      <c r="D155" s="53" t="str">
        <f>IF('Salary Detail'!P55="l",'Salary Detail'!L110,"")</f>
        <v/>
      </c>
      <c r="E155" s="53" t="str">
        <f>IF('Salary Detail'!P55="a",'Salary Detail'!L110,"")</f>
        <v/>
      </c>
      <c r="F155" s="53" t="str">
        <f>IF('Salary Detail'!P55="t",'Salary Detail'!L110,"")</f>
        <v/>
      </c>
      <c r="G155" s="53" t="str">
        <f>IF('Salary Detail'!P55="p",'Salary Detail'!L110,"")</f>
        <v/>
      </c>
      <c r="H155" s="53" t="str">
        <f>IF('Salary Detail'!P55="r",'Salary Detail'!L110,"")</f>
        <v/>
      </c>
      <c r="I155" s="53" t="str">
        <f>IF('Salary Detail'!P55="s",'Salary Detail'!L110,"")</f>
        <v/>
      </c>
      <c r="J155" s="53" t="str">
        <f>IF('Salary Detail'!P55="w",'Salary Detail'!L110,"")</f>
        <v/>
      </c>
      <c r="K155" s="53" t="str">
        <f>IF('Salary Detail'!P55="G",'Salary Detail'!L110,"")</f>
        <v/>
      </c>
      <c r="L155" s="53" t="str">
        <f>'Salary Detail'!M110</f>
        <v/>
      </c>
      <c r="M155" s="55" t="str">
        <f t="shared" si="6"/>
        <v/>
      </c>
    </row>
    <row r="156" spans="1:13" x14ac:dyDescent="0.25">
      <c r="A156" s="157" t="str">
        <f>'Salary Detail'!A165</f>
        <v/>
      </c>
      <c r="B156" s="53" t="str">
        <f>IF('Salary Detail'!P56="f",'Salary Detail'!L111,"")</f>
        <v/>
      </c>
      <c r="C156" s="53" t="str">
        <f>IF('Salary Detail'!P56="o",'Salary Detail'!L111,"")</f>
        <v/>
      </c>
      <c r="D156" s="53" t="str">
        <f>IF('Salary Detail'!P56="l",'Salary Detail'!L111,"")</f>
        <v/>
      </c>
      <c r="E156" s="53" t="str">
        <f>IF('Salary Detail'!P56="a",'Salary Detail'!L111,"")</f>
        <v/>
      </c>
      <c r="F156" s="53" t="str">
        <f>IF('Salary Detail'!P56="t",'Salary Detail'!L111,"")</f>
        <v/>
      </c>
      <c r="G156" s="53" t="str">
        <f>IF('Salary Detail'!P56="p",'Salary Detail'!L111,"")</f>
        <v/>
      </c>
      <c r="H156" s="53" t="str">
        <f>IF('Salary Detail'!P56="r",'Salary Detail'!L111,"")</f>
        <v/>
      </c>
      <c r="I156" s="53" t="str">
        <f>IF('Salary Detail'!P56="s",'Salary Detail'!L111,"")</f>
        <v/>
      </c>
      <c r="J156" s="53" t="str">
        <f>IF('Salary Detail'!P56="w",'Salary Detail'!L111,"")</f>
        <v/>
      </c>
      <c r="K156" s="53" t="str">
        <f>IF('Salary Detail'!P56="G",'Salary Detail'!L111,"")</f>
        <v/>
      </c>
      <c r="L156" s="53" t="str">
        <f>'Salary Detail'!M111</f>
        <v/>
      </c>
      <c r="M156" s="55" t="str">
        <f t="shared" si="6"/>
        <v/>
      </c>
    </row>
    <row r="157" spans="1:13" x14ac:dyDescent="0.25">
      <c r="A157" s="157" t="str">
        <f>'Salary Detail'!A166</f>
        <v/>
      </c>
      <c r="B157" s="53" t="str">
        <f>IF('Salary Detail'!P57="f",'Salary Detail'!L112,"")</f>
        <v/>
      </c>
      <c r="C157" s="53" t="str">
        <f>IF('Salary Detail'!P57="o",'Salary Detail'!L112,"")</f>
        <v/>
      </c>
      <c r="D157" s="53" t="str">
        <f>IF('Salary Detail'!P57="l",'Salary Detail'!L112,"")</f>
        <v/>
      </c>
      <c r="E157" s="53" t="str">
        <f>IF('Salary Detail'!P57="a",'Salary Detail'!L112,"")</f>
        <v/>
      </c>
      <c r="F157" s="53" t="str">
        <f>IF('Salary Detail'!P57="t",'Salary Detail'!L112,"")</f>
        <v/>
      </c>
      <c r="G157" s="53" t="str">
        <f>IF('Salary Detail'!P57="p",'Salary Detail'!L112,"")</f>
        <v/>
      </c>
      <c r="H157" s="53" t="str">
        <f>IF('Salary Detail'!P57="r",'Salary Detail'!L112,"")</f>
        <v/>
      </c>
      <c r="I157" s="53" t="str">
        <f>IF('Salary Detail'!P57="s",'Salary Detail'!L112,"")</f>
        <v/>
      </c>
      <c r="J157" s="53" t="str">
        <f>IF('Salary Detail'!P57="w",'Salary Detail'!L112,"")</f>
        <v/>
      </c>
      <c r="K157" s="53" t="str">
        <f>IF('Salary Detail'!P57="G",'Salary Detail'!L112,"")</f>
        <v/>
      </c>
      <c r="L157" s="53" t="str">
        <f>'Salary Detail'!M112</f>
        <v/>
      </c>
      <c r="M157" s="55" t="str">
        <f t="shared" si="6"/>
        <v/>
      </c>
    </row>
    <row r="158" spans="1:13" x14ac:dyDescent="0.25">
      <c r="A158" s="157" t="str">
        <f>'Salary Detail'!A167</f>
        <v/>
      </c>
      <c r="B158" s="53" t="str">
        <f>IF('Salary Detail'!P58="f",'Salary Detail'!L113,"")</f>
        <v/>
      </c>
      <c r="C158" s="53" t="str">
        <f>IF('Salary Detail'!P58="o",'Salary Detail'!L113,"")</f>
        <v/>
      </c>
      <c r="D158" s="53" t="str">
        <f>IF('Salary Detail'!P58="l",'Salary Detail'!L113,"")</f>
        <v/>
      </c>
      <c r="E158" s="53" t="str">
        <f>IF('Salary Detail'!P58="a",'Salary Detail'!L113,"")</f>
        <v/>
      </c>
      <c r="F158" s="53" t="str">
        <f>IF('Salary Detail'!P58="t",'Salary Detail'!L113,"")</f>
        <v/>
      </c>
      <c r="G158" s="53" t="str">
        <f>IF('Salary Detail'!P58="p",'Salary Detail'!L113,"")</f>
        <v/>
      </c>
      <c r="H158" s="53" t="str">
        <f>IF('Salary Detail'!P58="r",'Salary Detail'!L113,"")</f>
        <v/>
      </c>
      <c r="I158" s="53" t="str">
        <f>IF('Salary Detail'!P58="s",'Salary Detail'!L113,"")</f>
        <v/>
      </c>
      <c r="J158" s="53" t="str">
        <f>IF('Salary Detail'!P58="w",'Salary Detail'!L113,"")</f>
        <v/>
      </c>
      <c r="K158" s="53" t="str">
        <f>IF('Salary Detail'!P58="G",'Salary Detail'!L113,"")</f>
        <v/>
      </c>
      <c r="L158" s="53" t="str">
        <f>'Salary Detail'!M113</f>
        <v/>
      </c>
      <c r="M158" s="55" t="str">
        <f t="shared" si="6"/>
        <v/>
      </c>
    </row>
    <row r="159" spans="1:13" x14ac:dyDescent="0.25">
      <c r="A159" s="157" t="str">
        <f>'Salary Detail'!A168</f>
        <v/>
      </c>
      <c r="B159" s="53" t="str">
        <f>IF('Salary Detail'!P59="f",'Salary Detail'!L114,"")</f>
        <v/>
      </c>
      <c r="C159" s="53" t="str">
        <f>IF('Salary Detail'!P59="o",'Salary Detail'!L114,"")</f>
        <v/>
      </c>
      <c r="D159" s="53" t="str">
        <f>IF('Salary Detail'!P59="l",'Salary Detail'!L114,"")</f>
        <v/>
      </c>
      <c r="E159" s="53" t="str">
        <f>IF('Salary Detail'!P59="a",'Salary Detail'!L114,"")</f>
        <v/>
      </c>
      <c r="F159" s="53" t="str">
        <f>IF('Salary Detail'!P59="t",'Salary Detail'!L114,"")</f>
        <v/>
      </c>
      <c r="G159" s="53" t="str">
        <f>IF('Salary Detail'!P59="p",'Salary Detail'!L114,"")</f>
        <v/>
      </c>
      <c r="H159" s="53" t="str">
        <f>IF('Salary Detail'!P59="r",'Salary Detail'!L114,"")</f>
        <v/>
      </c>
      <c r="I159" s="53" t="str">
        <f>IF('Salary Detail'!P59="s",'Salary Detail'!L114,"")</f>
        <v/>
      </c>
      <c r="J159" s="53" t="str">
        <f>IF('Salary Detail'!P59="w",'Salary Detail'!L114,"")</f>
        <v/>
      </c>
      <c r="K159" s="53" t="str">
        <f>IF('Salary Detail'!P59="G",'Salary Detail'!L114,"")</f>
        <v/>
      </c>
      <c r="L159" s="53" t="str">
        <f>'Salary Detail'!M114</f>
        <v/>
      </c>
      <c r="M159" s="55" t="str">
        <f t="shared" si="6"/>
        <v/>
      </c>
    </row>
    <row r="160" spans="1:13" x14ac:dyDescent="0.25">
      <c r="A160" s="157" t="str">
        <f>'Salary Detail'!A169</f>
        <v/>
      </c>
      <c r="B160" s="53" t="str">
        <f>IF('Salary Detail'!P60="f",'Salary Detail'!L115,"")</f>
        <v/>
      </c>
      <c r="C160" s="53" t="str">
        <f>IF('Salary Detail'!P60="o",'Salary Detail'!L115,"")</f>
        <v/>
      </c>
      <c r="D160" s="53" t="str">
        <f>IF('Salary Detail'!P60="l",'Salary Detail'!L115,"")</f>
        <v/>
      </c>
      <c r="E160" s="53" t="str">
        <f>IF('Salary Detail'!P60="a",'Salary Detail'!L115,"")</f>
        <v/>
      </c>
      <c r="F160" s="53" t="str">
        <f>IF('Salary Detail'!P60="t",'Salary Detail'!L115,"")</f>
        <v/>
      </c>
      <c r="G160" s="53" t="str">
        <f>IF('Salary Detail'!P60="p",'Salary Detail'!L115,"")</f>
        <v/>
      </c>
      <c r="H160" s="53" t="str">
        <f>IF('Salary Detail'!P60="r",'Salary Detail'!L115,"")</f>
        <v/>
      </c>
      <c r="I160" s="53" t="str">
        <f>IF('Salary Detail'!P60="s",'Salary Detail'!L115,"")</f>
        <v/>
      </c>
      <c r="J160" s="53" t="str">
        <f>IF('Salary Detail'!P60="w",'Salary Detail'!L115,"")</f>
        <v/>
      </c>
      <c r="K160" s="53" t="str">
        <f>IF('Salary Detail'!P60="G",'Salary Detail'!L115,"")</f>
        <v/>
      </c>
      <c r="L160" s="53" t="str">
        <f>'Salary Detail'!M115</f>
        <v/>
      </c>
      <c r="M160" s="55" t="str">
        <f t="shared" si="6"/>
        <v/>
      </c>
    </row>
    <row r="161" spans="1:13" x14ac:dyDescent="0.25">
      <c r="A161" s="157" t="str">
        <f>'Salary Detail'!A170</f>
        <v/>
      </c>
      <c r="B161" s="53" t="str">
        <f>IF('Salary Detail'!P61="f",'Salary Detail'!L116,"")</f>
        <v/>
      </c>
      <c r="C161" s="53" t="str">
        <f>IF('Salary Detail'!P61="o",'Salary Detail'!L116,"")</f>
        <v/>
      </c>
      <c r="D161" s="53" t="str">
        <f>IF('Salary Detail'!P61="l",'Salary Detail'!L116,"")</f>
        <v/>
      </c>
      <c r="E161" s="53" t="str">
        <f>IF('Salary Detail'!P61="a",'Salary Detail'!L116,"")</f>
        <v/>
      </c>
      <c r="F161" s="53" t="str">
        <f>IF('Salary Detail'!P61="t",'Salary Detail'!L116,"")</f>
        <v/>
      </c>
      <c r="G161" s="53" t="str">
        <f>IF('Salary Detail'!P61="p",'Salary Detail'!L116,"")</f>
        <v/>
      </c>
      <c r="H161" s="53" t="str">
        <f>IF('Salary Detail'!P61="r",'Salary Detail'!L116,"")</f>
        <v/>
      </c>
      <c r="I161" s="53" t="str">
        <f>IF('Salary Detail'!P61="s",'Salary Detail'!L116,"")</f>
        <v/>
      </c>
      <c r="J161" s="53" t="str">
        <f>IF('Salary Detail'!P61="w",'Salary Detail'!L116,"")</f>
        <v/>
      </c>
      <c r="K161" s="53" t="str">
        <f>IF('Salary Detail'!P61="G",'Salary Detail'!L116,"")</f>
        <v/>
      </c>
      <c r="L161" s="53" t="str">
        <f>'Salary Detail'!M116</f>
        <v/>
      </c>
      <c r="M161" s="55" t="str">
        <f t="shared" si="6"/>
        <v/>
      </c>
    </row>
    <row r="162" spans="1:13" x14ac:dyDescent="0.25">
      <c r="A162" s="157" t="str">
        <f>'Salary Detail'!A171</f>
        <v/>
      </c>
      <c r="B162" s="53" t="str">
        <f>IF('Salary Detail'!P62="f",'Salary Detail'!L117,"")</f>
        <v/>
      </c>
      <c r="C162" s="53" t="str">
        <f>IF('Salary Detail'!P62="o",'Salary Detail'!L117,"")</f>
        <v/>
      </c>
      <c r="D162" s="53" t="str">
        <f>IF('Salary Detail'!P62="l",'Salary Detail'!L117,"")</f>
        <v/>
      </c>
      <c r="E162" s="53" t="str">
        <f>IF('Salary Detail'!P62="a",'Salary Detail'!L117,"")</f>
        <v/>
      </c>
      <c r="F162" s="53" t="str">
        <f>IF('Salary Detail'!P62="t",'Salary Detail'!L117,"")</f>
        <v/>
      </c>
      <c r="G162" s="53" t="str">
        <f>IF('Salary Detail'!P62="p",'Salary Detail'!L117,"")</f>
        <v/>
      </c>
      <c r="H162" s="53" t="str">
        <f>IF('Salary Detail'!P62="r",'Salary Detail'!L117,"")</f>
        <v/>
      </c>
      <c r="I162" s="53" t="str">
        <f>IF('Salary Detail'!P62="s",'Salary Detail'!L117,"")</f>
        <v/>
      </c>
      <c r="J162" s="53" t="str">
        <f>IF('Salary Detail'!P62="w",'Salary Detail'!L117,"")</f>
        <v/>
      </c>
      <c r="K162" s="53" t="str">
        <f>IF('Salary Detail'!P62="G",'Salary Detail'!L117,"")</f>
        <v/>
      </c>
      <c r="L162" s="53" t="str">
        <f>'Salary Detail'!M117</f>
        <v/>
      </c>
      <c r="M162" s="55" t="str">
        <f t="shared" si="6"/>
        <v/>
      </c>
    </row>
    <row r="163" spans="1:13" ht="13" thickBot="1" x14ac:dyDescent="0.3">
      <c r="A163" s="158" t="str">
        <f>'Salary Detail'!A172</f>
        <v/>
      </c>
      <c r="B163" s="53" t="str">
        <f>IF('Salary Detail'!P63="f",'Salary Detail'!L118,"")</f>
        <v/>
      </c>
      <c r="C163" s="53" t="str">
        <f>IF('Salary Detail'!P63="o",'Salary Detail'!L118,"")</f>
        <v/>
      </c>
      <c r="D163" s="53" t="str">
        <f>IF('Salary Detail'!P63="l",'Salary Detail'!L118,"")</f>
        <v/>
      </c>
      <c r="E163" s="152" t="str">
        <f>IF('Salary Detail'!P63="a",'Salary Detail'!L118,"")</f>
        <v/>
      </c>
      <c r="F163" s="152" t="str">
        <f>IF('Salary Detail'!P63="t",'Salary Detail'!L118,"")</f>
        <v/>
      </c>
      <c r="G163" s="152" t="str">
        <f>IF('Salary Detail'!P63="p",'Salary Detail'!L118,"")</f>
        <v/>
      </c>
      <c r="H163" s="152" t="str">
        <f>IF('Salary Detail'!P63="r",'Salary Detail'!L118,"")</f>
        <v/>
      </c>
      <c r="I163" s="152" t="str">
        <f>IF('Salary Detail'!P63="s",'Salary Detail'!L118,"")</f>
        <v/>
      </c>
      <c r="J163" s="152" t="str">
        <f>IF('Salary Detail'!P63="w",'Salary Detail'!L118,"")</f>
        <v/>
      </c>
      <c r="K163" s="152" t="str">
        <f>IF('Salary Detail'!P63="G",'Salary Detail'!L118,"")</f>
        <v/>
      </c>
      <c r="L163" s="152" t="str">
        <f>'Salary Detail'!M118</f>
        <v/>
      </c>
      <c r="M163" s="55" t="str">
        <f t="shared" si="6"/>
        <v/>
      </c>
    </row>
    <row r="164" spans="1:13" ht="13" x14ac:dyDescent="0.3">
      <c r="A164" s="75" t="s">
        <v>72</v>
      </c>
      <c r="B164" s="73">
        <f t="shared" ref="B164:K164" si="7">SUM(B124:B163)</f>
        <v>0</v>
      </c>
      <c r="C164" s="73">
        <f t="shared" si="7"/>
        <v>0</v>
      </c>
      <c r="D164" s="73">
        <f t="shared" si="7"/>
        <v>0</v>
      </c>
      <c r="E164" s="73">
        <f t="shared" si="7"/>
        <v>0</v>
      </c>
      <c r="F164" s="73">
        <f t="shared" si="7"/>
        <v>0</v>
      </c>
      <c r="G164" s="73">
        <f t="shared" si="7"/>
        <v>0</v>
      </c>
      <c r="H164" s="73">
        <f t="shared" si="7"/>
        <v>0</v>
      </c>
      <c r="I164" s="73">
        <f t="shared" si="7"/>
        <v>0</v>
      </c>
      <c r="J164" s="73">
        <f t="shared" si="7"/>
        <v>0</v>
      </c>
      <c r="K164" s="73">
        <f t="shared" si="7"/>
        <v>0</v>
      </c>
      <c r="L164" s="375"/>
      <c r="M164" s="74">
        <f>SUM(M124:M163)</f>
        <v>0</v>
      </c>
    </row>
    <row r="165" spans="1:13" ht="13" x14ac:dyDescent="0.3">
      <c r="A165" s="386" t="s">
        <v>283</v>
      </c>
      <c r="B165" s="94">
        <f>Year1Weight*VLOOKUP("F",FringeTable,2,FALSE)+Year2Weight*VLOOKUP("F",FringeTable,3,FALSE)+Year3Weight*VLOOKUP("F",FringeTable,4,FALSE)</f>
        <v>0.3</v>
      </c>
      <c r="C165" s="94">
        <f>Year1Weight*VLOOKUP("A",FringeTable,2,FALSE)+Year2Weight*VLOOKUP("A",FringeTable,3,FALSE)+Year3Weight*VLOOKUP("A",FringeTable,4,FALSE)</f>
        <v>0.38</v>
      </c>
      <c r="D165" s="94">
        <f>Year1Weight*VLOOKUP("A",FringeTable,2,FALSE)+Year2Weight*VLOOKUP("A",FringeTable,3,FALSE)+Year3Weight*VLOOKUP("A",FringeTable,4,FALSE)</f>
        <v>0.38</v>
      </c>
      <c r="E165" s="94">
        <f>Year1Weight*VLOOKUP("A",FringeTable,2,FALSE)+Year2Weight*VLOOKUP("A",FringeTable,3,FALSE)+Year3Weight*VLOOKUP("A",FringeTable,4,FALSE)</f>
        <v>0.38</v>
      </c>
      <c r="F165" s="94">
        <f>VLOOKUP("t",[0]!fringes,2,FALSE)</f>
        <v>0.24</v>
      </c>
      <c r="G165" s="94">
        <f>Year1Weight*VLOOKUP("P",FringeTable,2,FALSE)+Year2Weight*VLOOKUP("P",FringeTable,3,FALSE)+Year3Weight*VLOOKUP("P",FringeTable,4,FALSE)</f>
        <v>0.26</v>
      </c>
      <c r="H165" s="94">
        <f>VLOOKUP("r",[0]!fringes,2,FALSE)</f>
        <v>8.1000000000000003E-2</v>
      </c>
      <c r="I165" s="94">
        <f>VLOOKUP("s",[0]!fringes,2,FALSE)</f>
        <v>0.01</v>
      </c>
      <c r="J165" s="94">
        <f>VLOOKUP("w",[0]!fringes,2,FALSE)</f>
        <v>0.01</v>
      </c>
      <c r="K165" s="369" t="s">
        <v>261</v>
      </c>
      <c r="L165" s="51">
        <f>SUM(B164:K164)</f>
        <v>0</v>
      </c>
      <c r="M165" s="372" t="s">
        <v>22</v>
      </c>
    </row>
    <row r="166" spans="1:13" ht="13" x14ac:dyDescent="0.3">
      <c r="A166" s="49" t="s">
        <v>73</v>
      </c>
      <c r="B166" s="51">
        <f>SUMIF('Salary Detail'!$P$24:$P$63,"f",'Salary Detail'!$M$79:$M$118)</f>
        <v>0</v>
      </c>
      <c r="C166" s="51">
        <f>SUMIF('Salary Detail'!$P$24:$P$63,"O",'Salary Detail'!$M$79:$M$118)</f>
        <v>0</v>
      </c>
      <c r="D166" s="51">
        <f>SUMIF('Salary Detail'!$P$24:$P$63,"L",'Salary Detail'!$M$79:$M$118)</f>
        <v>0</v>
      </c>
      <c r="E166" s="51">
        <f>SUMIF('Salary Detail'!$P$24:$P$63,"a",'Salary Detail'!$M$79:$M$118)</f>
        <v>0</v>
      </c>
      <c r="F166" s="51">
        <f>SUMIF('Salary Detail'!$P$24:$P$63,"t",'Salary Detail'!$M$79:$M$118)</f>
        <v>0</v>
      </c>
      <c r="G166" s="51">
        <f>SUMIF('Salary Detail'!$P$24:$P$63,"p",'Salary Detail'!$M$79:$M$118)</f>
        <v>0</v>
      </c>
      <c r="H166" s="51">
        <f>SUMIF('Salary Detail'!$P$24:$P$63,"r",'Salary Detail'!$M$79:$M$118)</f>
        <v>0</v>
      </c>
      <c r="I166" s="51">
        <f>SUMIF('Salary Detail'!$P$24:$P$63,"s",'Salary Detail'!$M$79:$M$118)</f>
        <v>0</v>
      </c>
      <c r="J166" s="51">
        <f>SUMIF('Salary Detail'!$P$24:$P$63,"w",'Salary Detail'!$M$79:$M$118)</f>
        <v>0</v>
      </c>
      <c r="K166" s="51">
        <f>SUMIF('Salary Detail'!$P$24:$P$63,"g",'Salary Detail'!$M$79:$M$118)</f>
        <v>0</v>
      </c>
      <c r="L166" s="376">
        <f>SUM(B166:K166)</f>
        <v>0</v>
      </c>
      <c r="M166" s="373" t="s">
        <v>81</v>
      </c>
    </row>
    <row r="167" spans="1:13" ht="13.5" thickBot="1" x14ac:dyDescent="0.35">
      <c r="A167" s="153" t="s">
        <v>74</v>
      </c>
      <c r="B167" s="154">
        <f t="shared" ref="B167:K167" si="8">B164+B166</f>
        <v>0</v>
      </c>
      <c r="C167" s="154">
        <f t="shared" si="8"/>
        <v>0</v>
      </c>
      <c r="D167" s="154">
        <f t="shared" si="8"/>
        <v>0</v>
      </c>
      <c r="E167" s="154">
        <f t="shared" si="8"/>
        <v>0</v>
      </c>
      <c r="F167" s="154">
        <f t="shared" si="8"/>
        <v>0</v>
      </c>
      <c r="G167" s="154">
        <f t="shared" si="8"/>
        <v>0</v>
      </c>
      <c r="H167" s="154">
        <f t="shared" si="8"/>
        <v>0</v>
      </c>
      <c r="I167" s="154">
        <f t="shared" si="8"/>
        <v>0</v>
      </c>
      <c r="J167" s="154">
        <f t="shared" si="8"/>
        <v>0</v>
      </c>
      <c r="K167" s="154">
        <f t="shared" si="8"/>
        <v>0</v>
      </c>
      <c r="L167" s="371">
        <f>SUM(B167:K167)</f>
        <v>0</v>
      </c>
      <c r="M167" s="385" t="s">
        <v>282</v>
      </c>
    </row>
    <row r="168" spans="1:13" ht="13" x14ac:dyDescent="0.3">
      <c r="A168" s="59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1"/>
    </row>
    <row r="169" spans="1:13" ht="13" x14ac:dyDescent="0.3">
      <c r="A169" s="972" t="s">
        <v>278</v>
      </c>
      <c r="B169" s="971"/>
      <c r="C169" s="971"/>
      <c r="D169" s="971"/>
      <c r="E169" s="971"/>
      <c r="F169" s="971"/>
      <c r="G169" s="971"/>
      <c r="H169" s="971"/>
      <c r="I169" s="971"/>
      <c r="J169" s="971"/>
      <c r="K169" s="971"/>
      <c r="L169" s="971"/>
      <c r="M169" s="971"/>
    </row>
    <row r="170" spans="1:13" ht="13" x14ac:dyDescent="0.3">
      <c r="A170" s="2" t="s">
        <v>65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</row>
    <row r="171" spans="1:13" ht="13" x14ac:dyDescent="0.3">
      <c r="A171" s="23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</row>
    <row r="172" spans="1:13" x14ac:dyDescent="0.25">
      <c r="E172" s="77" t="s">
        <v>138</v>
      </c>
      <c r="F172" s="967" t="str">
        <f>IF('Salary Detail'!E5=0,"",'Salary Detail'!E5)</f>
        <v/>
      </c>
      <c r="G172" s="943"/>
      <c r="H172" s="943"/>
      <c r="I172" s="943"/>
      <c r="J172" s="159"/>
      <c r="K172" s="159"/>
      <c r="L172" s="159"/>
    </row>
    <row r="173" spans="1:13" x14ac:dyDescent="0.25">
      <c r="E173" s="77" t="s">
        <v>8</v>
      </c>
      <c r="F173" s="967" t="str">
        <f>IF('Salary Detail'!E6=0,"",'Salary Detail'!E6)</f>
        <v/>
      </c>
      <c r="G173" s="943"/>
      <c r="H173" s="943"/>
      <c r="I173" s="943"/>
      <c r="J173" s="159"/>
      <c r="K173" s="159"/>
      <c r="L173" s="159"/>
      <c r="M173" s="78"/>
    </row>
    <row r="174" spans="1:13" x14ac:dyDescent="0.25">
      <c r="E174" s="77" t="s">
        <v>122</v>
      </c>
      <c r="F174" s="967" t="str">
        <f>IF('Salary Detail'!E7=0,"",'Salary Detail'!E7)</f>
        <v/>
      </c>
      <c r="G174" s="943"/>
      <c r="H174" s="943"/>
      <c r="I174" s="943"/>
      <c r="J174" s="147"/>
      <c r="K174" s="147"/>
      <c r="L174" s="147"/>
      <c r="M174" s="78"/>
    </row>
    <row r="175" spans="1:13" x14ac:dyDescent="0.25">
      <c r="E175" s="77" t="s">
        <v>10</v>
      </c>
      <c r="F175" s="967" t="str">
        <f>IF('Salary Detail'!E8=0,"",'Salary Detail'!E8)</f>
        <v/>
      </c>
      <c r="G175" s="943"/>
      <c r="H175" s="943"/>
      <c r="I175" s="943"/>
      <c r="J175" s="147"/>
      <c r="K175" s="147"/>
      <c r="L175" s="147"/>
    </row>
    <row r="176" spans="1:13" x14ac:dyDescent="0.25">
      <c r="A176" s="77"/>
      <c r="B176" s="62"/>
      <c r="C176" s="62"/>
      <c r="D176" s="62"/>
      <c r="G176" s="77"/>
      <c r="H176" s="7"/>
    </row>
    <row r="177" spans="1:13" ht="13" x14ac:dyDescent="0.3">
      <c r="A177" s="381" t="s">
        <v>284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5"/>
    </row>
    <row r="178" spans="1:13" x14ac:dyDescent="0.25">
      <c r="A178" s="49"/>
      <c r="B178" s="50" t="s">
        <v>67</v>
      </c>
      <c r="C178" s="56" t="s">
        <v>274</v>
      </c>
      <c r="D178" s="56" t="s">
        <v>275</v>
      </c>
      <c r="E178" s="56" t="s">
        <v>273</v>
      </c>
      <c r="F178" s="50" t="s">
        <v>69</v>
      </c>
      <c r="G178" s="56" t="s">
        <v>116</v>
      </c>
      <c r="H178" s="70" t="s">
        <v>135</v>
      </c>
      <c r="I178" s="6" t="s">
        <v>70</v>
      </c>
      <c r="J178" s="50" t="s">
        <v>71</v>
      </c>
      <c r="K178" s="56" t="s">
        <v>253</v>
      </c>
      <c r="L178" s="56" t="s">
        <v>23</v>
      </c>
      <c r="M178" s="50" t="s">
        <v>46</v>
      </c>
    </row>
    <row r="179" spans="1:13" x14ac:dyDescent="0.25">
      <c r="A179" s="156" t="str">
        <f>'Salary Detail'!A189</f>
        <v/>
      </c>
      <c r="B179" s="53" t="str">
        <f>IF('Salary Detail'!P24="f",'Salary Detail'!C133,"")</f>
        <v/>
      </c>
      <c r="C179" s="53" t="str">
        <f>IF('Salary Detail'!P24="o",'Salary Detail'!C133,"")</f>
        <v/>
      </c>
      <c r="D179" s="53" t="str">
        <f>IF('Salary Detail'!P24="l",'Salary Detail'!C133,"")</f>
        <v/>
      </c>
      <c r="E179" s="52" t="str">
        <f>IF('Salary Detail'!P24="a",'Salary Detail'!C133,"")</f>
        <v/>
      </c>
      <c r="F179" s="52" t="str">
        <f>IF('Salary Detail'!P24="t",'Salary Detail'!C133,"")</f>
        <v/>
      </c>
      <c r="G179" s="52" t="str">
        <f>IF('Salary Detail'!P24="p",'Salary Detail'!C133,"")</f>
        <v/>
      </c>
      <c r="H179" s="52" t="str">
        <f>IF('Salary Detail'!P24="r",'Salary Detail'!C133,"")</f>
        <v/>
      </c>
      <c r="I179" s="52" t="str">
        <f>IF('Salary Detail'!P24="s",'Salary Detail'!C133,"")</f>
        <v/>
      </c>
      <c r="J179" s="52" t="str">
        <f>IF('Salary Detail'!P24="w",'Salary Detail'!C133,"")</f>
        <v/>
      </c>
      <c r="K179" s="52" t="str">
        <f>IF('Salary Detail'!P24="G",'Salary Detail'!C133,"")</f>
        <v/>
      </c>
      <c r="L179" s="52" t="str">
        <f>'Salary Detail'!E133</f>
        <v/>
      </c>
      <c r="M179" s="54">
        <f t="shared" ref="M179:M218" si="9">SUM(B179:L179)</f>
        <v>0</v>
      </c>
    </row>
    <row r="180" spans="1:13" x14ac:dyDescent="0.25">
      <c r="A180" s="157" t="str">
        <f>'Salary Detail'!A190</f>
        <v/>
      </c>
      <c r="B180" s="53" t="str">
        <f>IF('Salary Detail'!P25="f",'Salary Detail'!C134,"")</f>
        <v/>
      </c>
      <c r="C180" s="53" t="str">
        <f>IF('Salary Detail'!P25="o",'Salary Detail'!C134,"")</f>
        <v/>
      </c>
      <c r="D180" s="53" t="str">
        <f>IF('Salary Detail'!P25="l",'Salary Detail'!C134,"")</f>
        <v/>
      </c>
      <c r="E180" s="53" t="str">
        <f>IF('Salary Detail'!P25="a",'Salary Detail'!C134,"")</f>
        <v/>
      </c>
      <c r="F180" s="53" t="str">
        <f>IF('Salary Detail'!P25="t",'Salary Detail'!C134,"")</f>
        <v/>
      </c>
      <c r="G180" s="53" t="str">
        <f>IF('Salary Detail'!P25="p",'Salary Detail'!C134,"")</f>
        <v/>
      </c>
      <c r="H180" s="53" t="str">
        <f>IF('Salary Detail'!P25="r",'Salary Detail'!C134,"")</f>
        <v/>
      </c>
      <c r="I180" s="53" t="str">
        <f>IF('Salary Detail'!P25="s",'Salary Detail'!C134,"")</f>
        <v/>
      </c>
      <c r="J180" s="53" t="str">
        <f>IF('Salary Detail'!P25="w",'Salary Detail'!C134,"")</f>
        <v/>
      </c>
      <c r="K180" s="53" t="str">
        <f>IF('Salary Detail'!P25="G",'Salary Detail'!C134,"")</f>
        <v/>
      </c>
      <c r="L180" s="53" t="str">
        <f>'Salary Detail'!E134</f>
        <v/>
      </c>
      <c r="M180" s="55">
        <f t="shared" si="9"/>
        <v>0</v>
      </c>
    </row>
    <row r="181" spans="1:13" x14ac:dyDescent="0.25">
      <c r="A181" s="157" t="str">
        <f>'Salary Detail'!A191</f>
        <v/>
      </c>
      <c r="B181" s="53" t="str">
        <f>IF('Salary Detail'!P26="f",'Salary Detail'!C135,"")</f>
        <v/>
      </c>
      <c r="C181" s="53" t="str">
        <f>IF('Salary Detail'!P26="o",'Salary Detail'!C135,"")</f>
        <v/>
      </c>
      <c r="D181" s="53" t="str">
        <f>IF('Salary Detail'!P26="l",'Salary Detail'!C135,"")</f>
        <v/>
      </c>
      <c r="E181" s="53" t="str">
        <f>IF('Salary Detail'!P26="a",'Salary Detail'!C135,"")</f>
        <v/>
      </c>
      <c r="F181" s="53" t="str">
        <f>IF('Salary Detail'!P26="t",'Salary Detail'!C135,"")</f>
        <v/>
      </c>
      <c r="G181" s="53" t="str">
        <f>IF('Salary Detail'!P26="p",'Salary Detail'!C135,"")</f>
        <v/>
      </c>
      <c r="H181" s="53" t="str">
        <f>IF('Salary Detail'!P26="r",'Salary Detail'!C135,"")</f>
        <v/>
      </c>
      <c r="I181" s="53" t="str">
        <f>IF('Salary Detail'!P26="s",'Salary Detail'!C135,"")</f>
        <v/>
      </c>
      <c r="J181" s="53" t="str">
        <f>IF('Salary Detail'!P26="w",'Salary Detail'!C135,"")</f>
        <v/>
      </c>
      <c r="K181" s="53" t="str">
        <f>IF('Salary Detail'!P26="G",'Salary Detail'!C135,"")</f>
        <v/>
      </c>
      <c r="L181" s="53" t="str">
        <f>'Salary Detail'!E135</f>
        <v/>
      </c>
      <c r="M181" s="55">
        <f t="shared" si="9"/>
        <v>0</v>
      </c>
    </row>
    <row r="182" spans="1:13" x14ac:dyDescent="0.25">
      <c r="A182" s="157" t="str">
        <f>'Salary Detail'!A192</f>
        <v/>
      </c>
      <c r="B182" s="53" t="str">
        <f>IF('Salary Detail'!P27="f",'Salary Detail'!C136,"")</f>
        <v/>
      </c>
      <c r="C182" s="53" t="str">
        <f>IF('Salary Detail'!P27="o",'Salary Detail'!C136,"")</f>
        <v/>
      </c>
      <c r="D182" s="53" t="str">
        <f>IF('Salary Detail'!P27="l",'Salary Detail'!C136,"")</f>
        <v/>
      </c>
      <c r="E182" s="53" t="str">
        <f>IF('Salary Detail'!P27="a",'Salary Detail'!C136,"")</f>
        <v/>
      </c>
      <c r="F182" s="53" t="str">
        <f>IF('Salary Detail'!P27="t",'Salary Detail'!C136,"")</f>
        <v/>
      </c>
      <c r="G182" s="53" t="str">
        <f>IF('Salary Detail'!P27="p",'Salary Detail'!C136,"")</f>
        <v/>
      </c>
      <c r="H182" s="53" t="str">
        <f>IF('Salary Detail'!P27="r",'Salary Detail'!C136,"")</f>
        <v/>
      </c>
      <c r="I182" s="53" t="str">
        <f>IF('Salary Detail'!P27="s",'Salary Detail'!C136,"")</f>
        <v/>
      </c>
      <c r="J182" s="53" t="str">
        <f>IF('Salary Detail'!P27="w",'Salary Detail'!C136,"")</f>
        <v/>
      </c>
      <c r="K182" s="53" t="str">
        <f>IF('Salary Detail'!P27="G",'Salary Detail'!C136,"")</f>
        <v/>
      </c>
      <c r="L182" s="53" t="str">
        <f>'Salary Detail'!E136</f>
        <v/>
      </c>
      <c r="M182" s="55">
        <f t="shared" si="9"/>
        <v>0</v>
      </c>
    </row>
    <row r="183" spans="1:13" x14ac:dyDescent="0.25">
      <c r="A183" s="157" t="str">
        <f>'Salary Detail'!A193</f>
        <v/>
      </c>
      <c r="B183" s="53" t="str">
        <f>IF('Salary Detail'!P28="f",'Salary Detail'!C137,"")</f>
        <v/>
      </c>
      <c r="C183" s="53" t="str">
        <f>IF('Salary Detail'!P28="o",'Salary Detail'!C137,"")</f>
        <v/>
      </c>
      <c r="D183" s="53" t="str">
        <f>IF('Salary Detail'!P28="l",'Salary Detail'!C137,"")</f>
        <v/>
      </c>
      <c r="E183" s="53" t="str">
        <f>IF('Salary Detail'!P28="a",'Salary Detail'!C137,"")</f>
        <v/>
      </c>
      <c r="F183" s="53" t="str">
        <f>IF('Salary Detail'!P28="t",'Salary Detail'!C137,"")</f>
        <v/>
      </c>
      <c r="G183" s="53" t="str">
        <f>IF('Salary Detail'!P28="p",'Salary Detail'!C137,"")</f>
        <v/>
      </c>
      <c r="H183" s="53" t="str">
        <f>IF('Salary Detail'!P28="r",'Salary Detail'!C137,"")</f>
        <v/>
      </c>
      <c r="I183" s="53" t="str">
        <f>IF('Salary Detail'!P28="s",'Salary Detail'!C137,"")</f>
        <v/>
      </c>
      <c r="J183" s="53" t="str">
        <f>IF('Salary Detail'!P28="w",'Salary Detail'!C137,"")</f>
        <v/>
      </c>
      <c r="K183" s="53" t="str">
        <f>IF('Salary Detail'!P28="G",'Salary Detail'!C137,"")</f>
        <v/>
      </c>
      <c r="L183" s="53" t="str">
        <f>'Salary Detail'!E137</f>
        <v/>
      </c>
      <c r="M183" s="55">
        <f t="shared" si="9"/>
        <v>0</v>
      </c>
    </row>
    <row r="184" spans="1:13" x14ac:dyDescent="0.25">
      <c r="A184" s="157" t="str">
        <f>'Salary Detail'!A194</f>
        <v/>
      </c>
      <c r="B184" s="53" t="str">
        <f>IF('Salary Detail'!P29="f",'Salary Detail'!C138,"")</f>
        <v/>
      </c>
      <c r="C184" s="53" t="str">
        <f>IF('Salary Detail'!P29="o",'Salary Detail'!C138,"")</f>
        <v/>
      </c>
      <c r="D184" s="53" t="str">
        <f>IF('Salary Detail'!P29="l",'Salary Detail'!C138,"")</f>
        <v/>
      </c>
      <c r="E184" s="53" t="str">
        <f>IF('Salary Detail'!P29="a",'Salary Detail'!C138,"")</f>
        <v/>
      </c>
      <c r="F184" s="53" t="str">
        <f>IF('Salary Detail'!P29="t",'Salary Detail'!C138,"")</f>
        <v/>
      </c>
      <c r="G184" s="53" t="str">
        <f>IF('Salary Detail'!P29="p",'Salary Detail'!C138,"")</f>
        <v/>
      </c>
      <c r="H184" s="53" t="str">
        <f>IF('Salary Detail'!P29="r",'Salary Detail'!C138,"")</f>
        <v/>
      </c>
      <c r="I184" s="53" t="str">
        <f>IF('Salary Detail'!P29="s",'Salary Detail'!C138,"")</f>
        <v/>
      </c>
      <c r="J184" s="53" t="str">
        <f>IF('Salary Detail'!P29="w",'Salary Detail'!C138,"")</f>
        <v/>
      </c>
      <c r="K184" s="53" t="str">
        <f>IF('Salary Detail'!P29="G",'Salary Detail'!C138,"")</f>
        <v/>
      </c>
      <c r="L184" s="53" t="str">
        <f>'Salary Detail'!E138</f>
        <v/>
      </c>
      <c r="M184" s="55">
        <f t="shared" si="9"/>
        <v>0</v>
      </c>
    </row>
    <row r="185" spans="1:13" x14ac:dyDescent="0.25">
      <c r="A185" s="157" t="str">
        <f>'Salary Detail'!A195</f>
        <v/>
      </c>
      <c r="B185" s="53" t="str">
        <f>IF('Salary Detail'!P30="f",'Salary Detail'!C139,"")</f>
        <v/>
      </c>
      <c r="C185" s="53" t="str">
        <f>IF('Salary Detail'!P30="o",'Salary Detail'!C139,"")</f>
        <v/>
      </c>
      <c r="D185" s="53" t="str">
        <f>IF('Salary Detail'!P30="l",'Salary Detail'!C139,"")</f>
        <v/>
      </c>
      <c r="E185" s="53" t="str">
        <f>IF('Salary Detail'!P30="a",'Salary Detail'!C139,"")</f>
        <v/>
      </c>
      <c r="F185" s="53" t="str">
        <f>IF('Salary Detail'!P30="t",'Salary Detail'!C139,"")</f>
        <v/>
      </c>
      <c r="G185" s="53" t="str">
        <f>IF('Salary Detail'!P30="p",'Salary Detail'!C139,"")</f>
        <v/>
      </c>
      <c r="H185" s="53" t="str">
        <f>IF('Salary Detail'!P30="r",'Salary Detail'!C139,"")</f>
        <v/>
      </c>
      <c r="I185" s="53" t="str">
        <f>IF('Salary Detail'!P30="s",'Salary Detail'!C139,"")</f>
        <v/>
      </c>
      <c r="J185" s="53" t="str">
        <f>IF('Salary Detail'!P30="w",'Salary Detail'!C139,"")</f>
        <v/>
      </c>
      <c r="K185" s="53" t="str">
        <f>IF('Salary Detail'!P30="G",'Salary Detail'!C139,"")</f>
        <v/>
      </c>
      <c r="L185" s="53" t="str">
        <f>'Salary Detail'!E139</f>
        <v/>
      </c>
      <c r="M185" s="55">
        <f t="shared" si="9"/>
        <v>0</v>
      </c>
    </row>
    <row r="186" spans="1:13" x14ac:dyDescent="0.25">
      <c r="A186" s="157" t="str">
        <f>'Salary Detail'!A196</f>
        <v/>
      </c>
      <c r="B186" s="53" t="str">
        <f>IF('Salary Detail'!P31="f",'Salary Detail'!C140,"")</f>
        <v/>
      </c>
      <c r="C186" s="53" t="str">
        <f>IF('Salary Detail'!P31="o",'Salary Detail'!C140,"")</f>
        <v/>
      </c>
      <c r="D186" s="53" t="str">
        <f>IF('Salary Detail'!P31="l",'Salary Detail'!C140,"")</f>
        <v/>
      </c>
      <c r="E186" s="53" t="str">
        <f>IF('Salary Detail'!P31="a",'Salary Detail'!C140,"")</f>
        <v/>
      </c>
      <c r="F186" s="53" t="str">
        <f>IF('Salary Detail'!P31="t",'Salary Detail'!C140,"")</f>
        <v/>
      </c>
      <c r="G186" s="53" t="str">
        <f>IF('Salary Detail'!P31="p",'Salary Detail'!C140,"")</f>
        <v/>
      </c>
      <c r="H186" s="53" t="str">
        <f>IF('Salary Detail'!P31="r",'Salary Detail'!C140,"")</f>
        <v/>
      </c>
      <c r="I186" s="53" t="str">
        <f>IF('Salary Detail'!P31="s",'Salary Detail'!C140,"")</f>
        <v/>
      </c>
      <c r="J186" s="53" t="str">
        <f>IF('Salary Detail'!P31="w",'Salary Detail'!C140,"")</f>
        <v/>
      </c>
      <c r="K186" s="53" t="str">
        <f>IF('Salary Detail'!P31="G",'Salary Detail'!C140,"")</f>
        <v/>
      </c>
      <c r="L186" s="53" t="str">
        <f>'Salary Detail'!E140</f>
        <v/>
      </c>
      <c r="M186" s="55">
        <f t="shared" si="9"/>
        <v>0</v>
      </c>
    </row>
    <row r="187" spans="1:13" x14ac:dyDescent="0.25">
      <c r="A187" s="157" t="str">
        <f>'Salary Detail'!A197</f>
        <v/>
      </c>
      <c r="B187" s="53" t="str">
        <f>IF('Salary Detail'!P32="f",'Salary Detail'!C141,"")</f>
        <v/>
      </c>
      <c r="C187" s="53" t="str">
        <f>IF('Salary Detail'!P32="o",'Salary Detail'!C141,"")</f>
        <v/>
      </c>
      <c r="D187" s="53" t="str">
        <f>IF('Salary Detail'!P32="l",'Salary Detail'!C141,"")</f>
        <v/>
      </c>
      <c r="E187" s="53" t="str">
        <f>IF('Salary Detail'!P32="a",'Salary Detail'!C141,"")</f>
        <v/>
      </c>
      <c r="F187" s="53" t="str">
        <f>IF('Salary Detail'!P32="t",'Salary Detail'!C141,"")</f>
        <v/>
      </c>
      <c r="G187" s="53" t="str">
        <f>IF('Salary Detail'!P32="p",'Salary Detail'!C141,"")</f>
        <v/>
      </c>
      <c r="H187" s="53" t="str">
        <f>IF('Salary Detail'!P32="r",'Salary Detail'!C141,"")</f>
        <v/>
      </c>
      <c r="I187" s="53" t="str">
        <f>IF('Salary Detail'!P32="s",'Salary Detail'!C141,"")</f>
        <v/>
      </c>
      <c r="J187" s="53" t="str">
        <f>IF('Salary Detail'!P32="w",'Salary Detail'!C141,"")</f>
        <v/>
      </c>
      <c r="K187" s="53" t="str">
        <f>IF('Salary Detail'!P32="G",'Salary Detail'!C141,"")</f>
        <v/>
      </c>
      <c r="L187" s="53" t="str">
        <f>'Salary Detail'!E141</f>
        <v/>
      </c>
      <c r="M187" s="55">
        <f t="shared" si="9"/>
        <v>0</v>
      </c>
    </row>
    <row r="188" spans="1:13" x14ac:dyDescent="0.25">
      <c r="A188" s="157" t="str">
        <f>'Salary Detail'!A198</f>
        <v/>
      </c>
      <c r="B188" s="53" t="str">
        <f>IF('Salary Detail'!P33="f",'Salary Detail'!C142,"")</f>
        <v/>
      </c>
      <c r="C188" s="53" t="str">
        <f>IF('Salary Detail'!P33="o",'Salary Detail'!C142,"")</f>
        <v/>
      </c>
      <c r="D188" s="53" t="str">
        <f>IF('Salary Detail'!P33="l",'Salary Detail'!C142,"")</f>
        <v/>
      </c>
      <c r="E188" s="53" t="str">
        <f>IF('Salary Detail'!P33="a",'Salary Detail'!C142,"")</f>
        <v/>
      </c>
      <c r="F188" s="53" t="str">
        <f>IF('Salary Detail'!P33="t",'Salary Detail'!C142,"")</f>
        <v/>
      </c>
      <c r="G188" s="53" t="str">
        <f>IF('Salary Detail'!P33="p",'Salary Detail'!C142,"")</f>
        <v/>
      </c>
      <c r="H188" s="53" t="str">
        <f>IF('Salary Detail'!P33="r",'Salary Detail'!C142,"")</f>
        <v/>
      </c>
      <c r="I188" s="53" t="str">
        <f>IF('Salary Detail'!P33="s",'Salary Detail'!C142,"")</f>
        <v/>
      </c>
      <c r="J188" s="53" t="str">
        <f>IF('Salary Detail'!P33="w",'Salary Detail'!C142,"")</f>
        <v/>
      </c>
      <c r="K188" s="53" t="str">
        <f>IF('Salary Detail'!P33="G",'Salary Detail'!C142,"")</f>
        <v/>
      </c>
      <c r="L188" s="53" t="str">
        <f>'Salary Detail'!E142</f>
        <v/>
      </c>
      <c r="M188" s="55">
        <f t="shared" si="9"/>
        <v>0</v>
      </c>
    </row>
    <row r="189" spans="1:13" x14ac:dyDescent="0.25">
      <c r="A189" s="157" t="str">
        <f>'Salary Detail'!A199</f>
        <v/>
      </c>
      <c r="B189" s="53" t="str">
        <f>IF('Salary Detail'!P34="f",'Salary Detail'!C143,"")</f>
        <v/>
      </c>
      <c r="C189" s="53" t="str">
        <f>IF('Salary Detail'!P34="o",'Salary Detail'!C143,"")</f>
        <v/>
      </c>
      <c r="D189" s="53" t="str">
        <f>IF('Salary Detail'!P34="l",'Salary Detail'!C143,"")</f>
        <v/>
      </c>
      <c r="E189" s="53" t="str">
        <f>IF('Salary Detail'!P34="a",'Salary Detail'!C143,"")</f>
        <v/>
      </c>
      <c r="F189" s="53" t="str">
        <f>IF('Salary Detail'!P34="t",'Salary Detail'!C143,"")</f>
        <v/>
      </c>
      <c r="G189" s="53" t="str">
        <f>IF('Salary Detail'!P34="p",'Salary Detail'!C143,"")</f>
        <v/>
      </c>
      <c r="H189" s="53" t="str">
        <f>IF('Salary Detail'!P34="r",'Salary Detail'!C143,"")</f>
        <v/>
      </c>
      <c r="I189" s="53" t="str">
        <f>IF('Salary Detail'!P34="s",'Salary Detail'!C143,"")</f>
        <v/>
      </c>
      <c r="J189" s="53" t="str">
        <f>IF('Salary Detail'!P34="w",'Salary Detail'!C143,"")</f>
        <v/>
      </c>
      <c r="K189" s="53" t="str">
        <f>IF('Salary Detail'!P34="G",'Salary Detail'!C143,"")</f>
        <v/>
      </c>
      <c r="L189" s="53" t="str">
        <f>'Salary Detail'!E143</f>
        <v/>
      </c>
      <c r="M189" s="55">
        <f t="shared" si="9"/>
        <v>0</v>
      </c>
    </row>
    <row r="190" spans="1:13" x14ac:dyDescent="0.25">
      <c r="A190" s="157" t="str">
        <f>'Salary Detail'!A200</f>
        <v/>
      </c>
      <c r="B190" s="53" t="str">
        <f>IF('Salary Detail'!P35="f",'Salary Detail'!C144,"")</f>
        <v/>
      </c>
      <c r="C190" s="53" t="str">
        <f>IF('Salary Detail'!P35="o",'Salary Detail'!C144,"")</f>
        <v/>
      </c>
      <c r="D190" s="53" t="str">
        <f>IF('Salary Detail'!P35="l",'Salary Detail'!C144,"")</f>
        <v/>
      </c>
      <c r="E190" s="53" t="str">
        <f>IF('Salary Detail'!P35="a",'Salary Detail'!C144,"")</f>
        <v/>
      </c>
      <c r="F190" s="53" t="str">
        <f>IF('Salary Detail'!P35="t",'Salary Detail'!C144,"")</f>
        <v/>
      </c>
      <c r="G190" s="53" t="str">
        <f>IF('Salary Detail'!P35="p",'Salary Detail'!C144,"")</f>
        <v/>
      </c>
      <c r="H190" s="53" t="str">
        <f>IF('Salary Detail'!P35="r",'Salary Detail'!C144,"")</f>
        <v/>
      </c>
      <c r="I190" s="53" t="str">
        <f>IF('Salary Detail'!P35="s",'Salary Detail'!C144,"")</f>
        <v/>
      </c>
      <c r="J190" s="53" t="str">
        <f>IF('Salary Detail'!P35="w",'Salary Detail'!C144,"")</f>
        <v/>
      </c>
      <c r="K190" s="53" t="str">
        <f>IF('Salary Detail'!P35="G",'Salary Detail'!C144,"")</f>
        <v/>
      </c>
      <c r="L190" s="53" t="str">
        <f>'Salary Detail'!E144</f>
        <v/>
      </c>
      <c r="M190" s="55">
        <f t="shared" si="9"/>
        <v>0</v>
      </c>
    </row>
    <row r="191" spans="1:13" x14ac:dyDescent="0.25">
      <c r="A191" s="157" t="str">
        <f>'Salary Detail'!A201</f>
        <v/>
      </c>
      <c r="B191" s="53" t="str">
        <f>IF('Salary Detail'!P36="f",'Salary Detail'!C145,"")</f>
        <v/>
      </c>
      <c r="C191" s="53" t="str">
        <f>IF('Salary Detail'!P36="o",'Salary Detail'!C145,"")</f>
        <v/>
      </c>
      <c r="D191" s="53" t="str">
        <f>IF('Salary Detail'!P36="l",'Salary Detail'!C145,"")</f>
        <v/>
      </c>
      <c r="E191" s="53" t="str">
        <f>IF('Salary Detail'!P36="a",'Salary Detail'!C145,"")</f>
        <v/>
      </c>
      <c r="F191" s="53" t="str">
        <f>IF('Salary Detail'!P36="t",'Salary Detail'!C145,"")</f>
        <v/>
      </c>
      <c r="G191" s="53" t="str">
        <f>IF('Salary Detail'!P36="p",'Salary Detail'!C145,"")</f>
        <v/>
      </c>
      <c r="H191" s="53" t="str">
        <f>IF('Salary Detail'!P36="r",'Salary Detail'!C145,"")</f>
        <v/>
      </c>
      <c r="I191" s="53" t="str">
        <f>IF('Salary Detail'!P36="s",'Salary Detail'!C145,"")</f>
        <v/>
      </c>
      <c r="J191" s="53" t="str">
        <f>IF('Salary Detail'!P36="w",'Salary Detail'!C145,"")</f>
        <v/>
      </c>
      <c r="K191" s="53" t="str">
        <f>IF('Salary Detail'!P36="G",'Salary Detail'!C145,"")</f>
        <v/>
      </c>
      <c r="L191" s="53" t="str">
        <f>'Salary Detail'!E145</f>
        <v/>
      </c>
      <c r="M191" s="55">
        <f t="shared" si="9"/>
        <v>0</v>
      </c>
    </row>
    <row r="192" spans="1:13" x14ac:dyDescent="0.25">
      <c r="A192" s="157" t="str">
        <f>'Salary Detail'!A202</f>
        <v/>
      </c>
      <c r="B192" s="53" t="str">
        <f>IF('Salary Detail'!P37="f",'Salary Detail'!C146,"")</f>
        <v/>
      </c>
      <c r="C192" s="53" t="str">
        <f>IF('Salary Detail'!P37="o",'Salary Detail'!C146,"")</f>
        <v/>
      </c>
      <c r="D192" s="53" t="str">
        <f>IF('Salary Detail'!P37="l",'Salary Detail'!C146,"")</f>
        <v/>
      </c>
      <c r="E192" s="53" t="str">
        <f>IF('Salary Detail'!P37="a",'Salary Detail'!C146,"")</f>
        <v/>
      </c>
      <c r="F192" s="53" t="str">
        <f>IF('Salary Detail'!P37="t",'Salary Detail'!C146,"")</f>
        <v/>
      </c>
      <c r="G192" s="53" t="str">
        <f>IF('Salary Detail'!P37="p",'Salary Detail'!C146,"")</f>
        <v/>
      </c>
      <c r="H192" s="53" t="str">
        <f>IF('Salary Detail'!P37="r",'Salary Detail'!C146,"")</f>
        <v/>
      </c>
      <c r="I192" s="53" t="str">
        <f>IF('Salary Detail'!P37="s",'Salary Detail'!C146,"")</f>
        <v/>
      </c>
      <c r="J192" s="53" t="str">
        <f>IF('Salary Detail'!P37="w",'Salary Detail'!C146,"")</f>
        <v/>
      </c>
      <c r="K192" s="53" t="str">
        <f>IF('Salary Detail'!P37="G",'Salary Detail'!C146,"")</f>
        <v/>
      </c>
      <c r="L192" s="53" t="str">
        <f>'Salary Detail'!E146</f>
        <v/>
      </c>
      <c r="M192" s="55">
        <f t="shared" si="9"/>
        <v>0</v>
      </c>
    </row>
    <row r="193" spans="1:13" x14ac:dyDescent="0.25">
      <c r="A193" s="157" t="str">
        <f>'Salary Detail'!A203</f>
        <v/>
      </c>
      <c r="B193" s="53" t="str">
        <f>IF('Salary Detail'!P38="f",'Salary Detail'!C147,"")</f>
        <v/>
      </c>
      <c r="C193" s="53" t="str">
        <f>IF('Salary Detail'!P38="o",'Salary Detail'!C147,"")</f>
        <v/>
      </c>
      <c r="D193" s="53" t="str">
        <f>IF('Salary Detail'!P38="l",'Salary Detail'!C147,"")</f>
        <v/>
      </c>
      <c r="E193" s="53" t="str">
        <f>IF('Salary Detail'!P38="a",'Salary Detail'!C147,"")</f>
        <v/>
      </c>
      <c r="F193" s="53" t="str">
        <f>IF('Salary Detail'!P38="t",'Salary Detail'!C147,"")</f>
        <v/>
      </c>
      <c r="G193" s="53" t="str">
        <f>IF('Salary Detail'!P38="p",'Salary Detail'!C147,"")</f>
        <v/>
      </c>
      <c r="H193" s="53" t="str">
        <f>IF('Salary Detail'!P38="r",'Salary Detail'!C147,"")</f>
        <v/>
      </c>
      <c r="I193" s="53" t="str">
        <f>IF('Salary Detail'!P38="s",'Salary Detail'!C147,"")</f>
        <v/>
      </c>
      <c r="J193" s="53" t="str">
        <f>IF('Salary Detail'!P38="w",'Salary Detail'!C147,"")</f>
        <v/>
      </c>
      <c r="K193" s="53" t="str">
        <f>IF('Salary Detail'!P38="G",'Salary Detail'!C147,"")</f>
        <v/>
      </c>
      <c r="L193" s="53" t="str">
        <f>'Salary Detail'!E147</f>
        <v/>
      </c>
      <c r="M193" s="55">
        <f t="shared" si="9"/>
        <v>0</v>
      </c>
    </row>
    <row r="194" spans="1:13" x14ac:dyDescent="0.25">
      <c r="A194" s="157" t="str">
        <f>'Salary Detail'!A204</f>
        <v/>
      </c>
      <c r="B194" s="53" t="str">
        <f>IF('Salary Detail'!P39="f",'Salary Detail'!C148,"")</f>
        <v/>
      </c>
      <c r="C194" s="53" t="str">
        <f>IF('Salary Detail'!P39="o",'Salary Detail'!C148,"")</f>
        <v/>
      </c>
      <c r="D194" s="53" t="str">
        <f>IF('Salary Detail'!P39="l",'Salary Detail'!C148,"")</f>
        <v/>
      </c>
      <c r="E194" s="53" t="str">
        <f>IF('Salary Detail'!P39="a",'Salary Detail'!C148,"")</f>
        <v/>
      </c>
      <c r="F194" s="53" t="str">
        <f>IF('Salary Detail'!P39="t",'Salary Detail'!C148,"")</f>
        <v/>
      </c>
      <c r="G194" s="53" t="str">
        <f>IF('Salary Detail'!P39="p",'Salary Detail'!C148,"")</f>
        <v/>
      </c>
      <c r="H194" s="53" t="str">
        <f>IF('Salary Detail'!P39="r",'Salary Detail'!C148,"")</f>
        <v/>
      </c>
      <c r="I194" s="53" t="str">
        <f>IF('Salary Detail'!P39="s",'Salary Detail'!C148,"")</f>
        <v/>
      </c>
      <c r="J194" s="53" t="str">
        <f>IF('Salary Detail'!P39="w",'Salary Detail'!C148,"")</f>
        <v/>
      </c>
      <c r="K194" s="53" t="str">
        <f>IF('Salary Detail'!P39="G",'Salary Detail'!C148,"")</f>
        <v/>
      </c>
      <c r="L194" s="53" t="str">
        <f>'Salary Detail'!E148</f>
        <v/>
      </c>
      <c r="M194" s="55">
        <f t="shared" si="9"/>
        <v>0</v>
      </c>
    </row>
    <row r="195" spans="1:13" x14ac:dyDescent="0.25">
      <c r="A195" s="157" t="str">
        <f>'Salary Detail'!A205</f>
        <v/>
      </c>
      <c r="B195" s="53" t="str">
        <f>IF('Salary Detail'!P40="f",'Salary Detail'!C149,"")</f>
        <v/>
      </c>
      <c r="C195" s="53" t="str">
        <f>IF('Salary Detail'!P40="o",'Salary Detail'!C149,"")</f>
        <v/>
      </c>
      <c r="D195" s="53" t="str">
        <f>IF('Salary Detail'!P40="l",'Salary Detail'!C149,"")</f>
        <v/>
      </c>
      <c r="E195" s="53" t="str">
        <f>IF('Salary Detail'!P40="a",'Salary Detail'!C149,"")</f>
        <v/>
      </c>
      <c r="F195" s="53" t="str">
        <f>IF('Salary Detail'!P40="t",'Salary Detail'!C149,"")</f>
        <v/>
      </c>
      <c r="G195" s="53" t="str">
        <f>IF('Salary Detail'!P40="p",'Salary Detail'!C149,"")</f>
        <v/>
      </c>
      <c r="H195" s="53" t="str">
        <f>IF('Salary Detail'!P40="r",'Salary Detail'!C149,"")</f>
        <v/>
      </c>
      <c r="I195" s="53" t="str">
        <f>IF('Salary Detail'!P40="s",'Salary Detail'!C149,"")</f>
        <v/>
      </c>
      <c r="J195" s="53" t="str">
        <f>IF('Salary Detail'!P40="w",'Salary Detail'!C149,"")</f>
        <v/>
      </c>
      <c r="K195" s="53" t="str">
        <f>IF('Salary Detail'!P40="G",'Salary Detail'!C149,"")</f>
        <v/>
      </c>
      <c r="L195" s="53" t="str">
        <f>'Salary Detail'!E149</f>
        <v/>
      </c>
      <c r="M195" s="55">
        <f t="shared" si="9"/>
        <v>0</v>
      </c>
    </row>
    <row r="196" spans="1:13" x14ac:dyDescent="0.25">
      <c r="A196" s="157" t="str">
        <f>'Salary Detail'!A206</f>
        <v/>
      </c>
      <c r="B196" s="53" t="str">
        <f>IF('Salary Detail'!P41="f",'Salary Detail'!C150,"")</f>
        <v/>
      </c>
      <c r="C196" s="53" t="str">
        <f>IF('Salary Detail'!P41="o",'Salary Detail'!C150,"")</f>
        <v/>
      </c>
      <c r="D196" s="53" t="str">
        <f>IF('Salary Detail'!P41="l",'Salary Detail'!C150,"")</f>
        <v/>
      </c>
      <c r="E196" s="53" t="str">
        <f>IF('Salary Detail'!P41="a",'Salary Detail'!C150,"")</f>
        <v/>
      </c>
      <c r="F196" s="53" t="str">
        <f>IF('Salary Detail'!P41="t",'Salary Detail'!C150,"")</f>
        <v/>
      </c>
      <c r="G196" s="53" t="str">
        <f>IF('Salary Detail'!P41="p",'Salary Detail'!C150,"")</f>
        <v/>
      </c>
      <c r="H196" s="53" t="str">
        <f>IF('Salary Detail'!P41="r",'Salary Detail'!C150,"")</f>
        <v/>
      </c>
      <c r="I196" s="53" t="str">
        <f>IF('Salary Detail'!P41="s",'Salary Detail'!C150,"")</f>
        <v/>
      </c>
      <c r="J196" s="53" t="str">
        <f>IF('Salary Detail'!P41="w",'Salary Detail'!C150,"")</f>
        <v/>
      </c>
      <c r="K196" s="53" t="str">
        <f>IF('Salary Detail'!P41="G",'Salary Detail'!C150,"")</f>
        <v/>
      </c>
      <c r="L196" s="53" t="str">
        <f>'Salary Detail'!E150</f>
        <v/>
      </c>
      <c r="M196" s="55">
        <f t="shared" si="9"/>
        <v>0</v>
      </c>
    </row>
    <row r="197" spans="1:13" x14ac:dyDescent="0.25">
      <c r="A197" s="157" t="str">
        <f>'Salary Detail'!A207</f>
        <v/>
      </c>
      <c r="B197" s="53" t="str">
        <f>IF('Salary Detail'!P42="f",'Salary Detail'!C151,"")</f>
        <v/>
      </c>
      <c r="C197" s="53" t="str">
        <f>IF('Salary Detail'!P42="o",'Salary Detail'!C151,"")</f>
        <v/>
      </c>
      <c r="D197" s="53" t="str">
        <f>IF('Salary Detail'!P42="l",'Salary Detail'!C151,"")</f>
        <v/>
      </c>
      <c r="E197" s="53" t="str">
        <f>IF('Salary Detail'!P42="a",'Salary Detail'!C151,"")</f>
        <v/>
      </c>
      <c r="F197" s="53" t="str">
        <f>IF('Salary Detail'!P42="t",'Salary Detail'!C151,"")</f>
        <v/>
      </c>
      <c r="G197" s="53" t="str">
        <f>IF('Salary Detail'!P42="p",'Salary Detail'!C151,"")</f>
        <v/>
      </c>
      <c r="H197" s="53" t="str">
        <f>IF('Salary Detail'!P42="r",'Salary Detail'!C151,"")</f>
        <v/>
      </c>
      <c r="I197" s="53" t="str">
        <f>IF('Salary Detail'!P42="s",'Salary Detail'!C151,"")</f>
        <v/>
      </c>
      <c r="J197" s="53" t="str">
        <f>IF('Salary Detail'!P42="w",'Salary Detail'!C151,"")</f>
        <v/>
      </c>
      <c r="K197" s="53" t="str">
        <f>IF('Salary Detail'!P42="G",'Salary Detail'!C151,"")</f>
        <v/>
      </c>
      <c r="L197" s="53" t="str">
        <f>'Salary Detail'!E151</f>
        <v/>
      </c>
      <c r="M197" s="55">
        <f t="shared" si="9"/>
        <v>0</v>
      </c>
    </row>
    <row r="198" spans="1:13" x14ac:dyDescent="0.25">
      <c r="A198" s="157" t="str">
        <f>'Salary Detail'!A208</f>
        <v/>
      </c>
      <c r="B198" s="53" t="str">
        <f>IF('Salary Detail'!P43="f",'Salary Detail'!C152,"")</f>
        <v/>
      </c>
      <c r="C198" s="53" t="str">
        <f>IF('Salary Detail'!P43="o",'Salary Detail'!C152,"")</f>
        <v/>
      </c>
      <c r="D198" s="53" t="str">
        <f>IF('Salary Detail'!P43="l",'Salary Detail'!C152,"")</f>
        <v/>
      </c>
      <c r="E198" s="53" t="str">
        <f>IF('Salary Detail'!P43="a",'Salary Detail'!C152,"")</f>
        <v/>
      </c>
      <c r="F198" s="53" t="str">
        <f>IF('Salary Detail'!P43="t",'Salary Detail'!C152,"")</f>
        <v/>
      </c>
      <c r="G198" s="53" t="str">
        <f>IF('Salary Detail'!P43="p",'Salary Detail'!C152,"")</f>
        <v/>
      </c>
      <c r="H198" s="53" t="str">
        <f>IF('Salary Detail'!P43="r",'Salary Detail'!C152,"")</f>
        <v/>
      </c>
      <c r="I198" s="53" t="str">
        <f>IF('Salary Detail'!P43="s",'Salary Detail'!C152,"")</f>
        <v/>
      </c>
      <c r="J198" s="53" t="str">
        <f>IF('Salary Detail'!P43="w",'Salary Detail'!C152,"")</f>
        <v/>
      </c>
      <c r="K198" s="53" t="str">
        <f>IF('Salary Detail'!P43="G",'Salary Detail'!C152,"")</f>
        <v/>
      </c>
      <c r="L198" s="53" t="str">
        <f>'Salary Detail'!E152</f>
        <v/>
      </c>
      <c r="M198" s="55">
        <f t="shared" si="9"/>
        <v>0</v>
      </c>
    </row>
    <row r="199" spans="1:13" x14ac:dyDescent="0.25">
      <c r="A199" s="157" t="str">
        <f>'Salary Detail'!A209</f>
        <v/>
      </c>
      <c r="B199" s="53" t="str">
        <f>IF('Salary Detail'!P44="f",'Salary Detail'!C153,"")</f>
        <v/>
      </c>
      <c r="C199" s="53" t="str">
        <f>IF('Salary Detail'!P44="o",'Salary Detail'!C153,"")</f>
        <v/>
      </c>
      <c r="D199" s="53" t="str">
        <f>IF('Salary Detail'!P44="l",'Salary Detail'!C153,"")</f>
        <v/>
      </c>
      <c r="E199" s="53" t="str">
        <f>IF('Salary Detail'!P44="a",'Salary Detail'!C153,"")</f>
        <v/>
      </c>
      <c r="F199" s="53" t="str">
        <f>IF('Salary Detail'!P44="t",'Salary Detail'!C153,"")</f>
        <v/>
      </c>
      <c r="G199" s="53" t="str">
        <f>IF('Salary Detail'!P44="p",'Salary Detail'!C153,"")</f>
        <v/>
      </c>
      <c r="H199" s="53" t="str">
        <f>IF('Salary Detail'!P44="r",'Salary Detail'!C153,"")</f>
        <v/>
      </c>
      <c r="I199" s="53" t="str">
        <f>IF('Salary Detail'!P44="s",'Salary Detail'!C153,"")</f>
        <v/>
      </c>
      <c r="J199" s="53" t="str">
        <f>IF('Salary Detail'!P44="w",'Salary Detail'!C153,"")</f>
        <v/>
      </c>
      <c r="K199" s="53" t="str">
        <f>IF('Salary Detail'!P44="G",'Salary Detail'!C153,"")</f>
        <v/>
      </c>
      <c r="L199" s="53" t="str">
        <f>'Salary Detail'!E153</f>
        <v/>
      </c>
      <c r="M199" s="55">
        <f t="shared" si="9"/>
        <v>0</v>
      </c>
    </row>
    <row r="200" spans="1:13" x14ac:dyDescent="0.25">
      <c r="A200" s="157" t="str">
        <f>'Salary Detail'!A210</f>
        <v/>
      </c>
      <c r="B200" s="53" t="str">
        <f>IF('Salary Detail'!P45="f",'Salary Detail'!C154,"")</f>
        <v/>
      </c>
      <c r="C200" s="53" t="str">
        <f>IF('Salary Detail'!P45="o",'Salary Detail'!C154,"")</f>
        <v/>
      </c>
      <c r="D200" s="53" t="str">
        <f>IF('Salary Detail'!P45="l",'Salary Detail'!C154,"")</f>
        <v/>
      </c>
      <c r="E200" s="53" t="str">
        <f>IF('Salary Detail'!P45="a",'Salary Detail'!C154,"")</f>
        <v/>
      </c>
      <c r="F200" s="53" t="str">
        <f>IF('Salary Detail'!P45="t",'Salary Detail'!C154,"")</f>
        <v/>
      </c>
      <c r="G200" s="53" t="str">
        <f>IF('Salary Detail'!P45="p",'Salary Detail'!C154,"")</f>
        <v/>
      </c>
      <c r="H200" s="53" t="str">
        <f>IF('Salary Detail'!P45="r",'Salary Detail'!C154,"")</f>
        <v/>
      </c>
      <c r="I200" s="53" t="str">
        <f>IF('Salary Detail'!P45="s",'Salary Detail'!C154,"")</f>
        <v/>
      </c>
      <c r="J200" s="53" t="str">
        <f>IF('Salary Detail'!P45="w",'Salary Detail'!C154,"")</f>
        <v/>
      </c>
      <c r="K200" s="53" t="str">
        <f>IF('Salary Detail'!P45="G",'Salary Detail'!C154,"")</f>
        <v/>
      </c>
      <c r="L200" s="53" t="str">
        <f>'Salary Detail'!E154</f>
        <v/>
      </c>
      <c r="M200" s="55">
        <f t="shared" si="9"/>
        <v>0</v>
      </c>
    </row>
    <row r="201" spans="1:13" x14ac:dyDescent="0.25">
      <c r="A201" s="157" t="str">
        <f>'Salary Detail'!A211</f>
        <v/>
      </c>
      <c r="B201" s="53" t="str">
        <f>IF('Salary Detail'!P46="f",'Salary Detail'!C155,"")</f>
        <v/>
      </c>
      <c r="C201" s="53" t="str">
        <f>IF('Salary Detail'!P46="o",'Salary Detail'!C155,"")</f>
        <v/>
      </c>
      <c r="D201" s="53" t="str">
        <f>IF('Salary Detail'!P46="l",'Salary Detail'!C155,"")</f>
        <v/>
      </c>
      <c r="E201" s="53" t="str">
        <f>IF('Salary Detail'!P46="a",'Salary Detail'!C155,"")</f>
        <v/>
      </c>
      <c r="F201" s="53" t="str">
        <f>IF('Salary Detail'!P46="t",'Salary Detail'!C155,"")</f>
        <v/>
      </c>
      <c r="G201" s="53" t="str">
        <f>IF('Salary Detail'!P46="p",'Salary Detail'!C155,"")</f>
        <v/>
      </c>
      <c r="H201" s="53" t="str">
        <f>IF('Salary Detail'!P46="r",'Salary Detail'!C155,"")</f>
        <v/>
      </c>
      <c r="I201" s="53" t="str">
        <f>IF('Salary Detail'!P46="s",'Salary Detail'!C155,"")</f>
        <v/>
      </c>
      <c r="J201" s="53" t="str">
        <f>IF('Salary Detail'!P46="w",'Salary Detail'!C155,"")</f>
        <v/>
      </c>
      <c r="K201" s="53" t="str">
        <f>IF('Salary Detail'!P46="G",'Salary Detail'!C155,"")</f>
        <v/>
      </c>
      <c r="L201" s="53" t="str">
        <f>'Salary Detail'!E155</f>
        <v/>
      </c>
      <c r="M201" s="55">
        <f t="shared" si="9"/>
        <v>0</v>
      </c>
    </row>
    <row r="202" spans="1:13" x14ac:dyDescent="0.25">
      <c r="A202" s="157" t="str">
        <f>'Salary Detail'!A212</f>
        <v/>
      </c>
      <c r="B202" s="53" t="str">
        <f>IF('Salary Detail'!P47="f",'Salary Detail'!C156,"")</f>
        <v/>
      </c>
      <c r="C202" s="53" t="str">
        <f>IF('Salary Detail'!P47="o",'Salary Detail'!C156,"")</f>
        <v/>
      </c>
      <c r="D202" s="53" t="str">
        <f>IF('Salary Detail'!P47="l",'Salary Detail'!C156,"")</f>
        <v/>
      </c>
      <c r="E202" s="53" t="str">
        <f>IF('Salary Detail'!P47="a",'Salary Detail'!C156,"")</f>
        <v/>
      </c>
      <c r="F202" s="53" t="str">
        <f>IF('Salary Detail'!P47="t",'Salary Detail'!C156,"")</f>
        <v/>
      </c>
      <c r="G202" s="53" t="str">
        <f>IF('Salary Detail'!P47="p",'Salary Detail'!C156,"")</f>
        <v/>
      </c>
      <c r="H202" s="53" t="str">
        <f>IF('Salary Detail'!P47="r",'Salary Detail'!C156,"")</f>
        <v/>
      </c>
      <c r="I202" s="53" t="str">
        <f>IF('Salary Detail'!P47="s",'Salary Detail'!C156,"")</f>
        <v/>
      </c>
      <c r="J202" s="53" t="str">
        <f>IF('Salary Detail'!P47="w",'Salary Detail'!C156,"")</f>
        <v/>
      </c>
      <c r="K202" s="53" t="str">
        <f>IF('Salary Detail'!P47="G",'Salary Detail'!C156,"")</f>
        <v/>
      </c>
      <c r="L202" s="53" t="str">
        <f>'Salary Detail'!E156</f>
        <v/>
      </c>
      <c r="M202" s="55">
        <f t="shared" si="9"/>
        <v>0</v>
      </c>
    </row>
    <row r="203" spans="1:13" x14ac:dyDescent="0.25">
      <c r="A203" s="157" t="str">
        <f>'Salary Detail'!A213</f>
        <v/>
      </c>
      <c r="B203" s="53" t="str">
        <f>IF('Salary Detail'!P48="f",'Salary Detail'!C157,"")</f>
        <v/>
      </c>
      <c r="C203" s="53" t="str">
        <f>IF('Salary Detail'!P48="o",'Salary Detail'!C157,"")</f>
        <v/>
      </c>
      <c r="D203" s="53" t="str">
        <f>IF('Salary Detail'!P48="l",'Salary Detail'!C157,"")</f>
        <v/>
      </c>
      <c r="E203" s="53" t="str">
        <f>IF('Salary Detail'!P48="a",'Salary Detail'!C157,"")</f>
        <v/>
      </c>
      <c r="F203" s="53" t="str">
        <f>IF('Salary Detail'!P48="t",'Salary Detail'!C157,"")</f>
        <v/>
      </c>
      <c r="G203" s="53" t="str">
        <f>IF('Salary Detail'!P48="p",'Salary Detail'!C157,"")</f>
        <v/>
      </c>
      <c r="H203" s="53" t="str">
        <f>IF('Salary Detail'!P48="r",'Salary Detail'!C157,"")</f>
        <v/>
      </c>
      <c r="I203" s="53" t="str">
        <f>IF('Salary Detail'!P48="s",'Salary Detail'!C157,"")</f>
        <v/>
      </c>
      <c r="J203" s="53" t="str">
        <f>IF('Salary Detail'!P48="w",'Salary Detail'!C157,"")</f>
        <v/>
      </c>
      <c r="K203" s="53" t="str">
        <f>IF('Salary Detail'!P48="G",'Salary Detail'!C157,"")</f>
        <v/>
      </c>
      <c r="L203" s="53" t="str">
        <f>'Salary Detail'!E157</f>
        <v/>
      </c>
      <c r="M203" s="55">
        <f t="shared" si="9"/>
        <v>0</v>
      </c>
    </row>
    <row r="204" spans="1:13" x14ac:dyDescent="0.25">
      <c r="A204" s="157" t="str">
        <f>'Salary Detail'!A214</f>
        <v/>
      </c>
      <c r="B204" s="53" t="str">
        <f>IF('Salary Detail'!P49="f",'Salary Detail'!C158,"")</f>
        <v/>
      </c>
      <c r="C204" s="53" t="str">
        <f>IF('Salary Detail'!P49="o",'Salary Detail'!C158,"")</f>
        <v/>
      </c>
      <c r="D204" s="53" t="str">
        <f>IF('Salary Detail'!P49="l",'Salary Detail'!C158,"")</f>
        <v/>
      </c>
      <c r="E204" s="53" t="str">
        <f>IF('Salary Detail'!P49="a",'Salary Detail'!C158,"")</f>
        <v/>
      </c>
      <c r="F204" s="53" t="str">
        <f>IF('Salary Detail'!P49="t",'Salary Detail'!C158,"")</f>
        <v/>
      </c>
      <c r="G204" s="53" t="str">
        <f>IF('Salary Detail'!P49="p",'Salary Detail'!C158,"")</f>
        <v/>
      </c>
      <c r="H204" s="53" t="str">
        <f>IF('Salary Detail'!P49="r",'Salary Detail'!C158,"")</f>
        <v/>
      </c>
      <c r="I204" s="53" t="str">
        <f>IF('Salary Detail'!P49="s",'Salary Detail'!C158,"")</f>
        <v/>
      </c>
      <c r="J204" s="53" t="str">
        <f>IF('Salary Detail'!P49="w",'Salary Detail'!C158,"")</f>
        <v/>
      </c>
      <c r="K204" s="53" t="str">
        <f>IF('Salary Detail'!P49="G",'Salary Detail'!C158,"")</f>
        <v/>
      </c>
      <c r="L204" s="53" t="str">
        <f>'Salary Detail'!E158</f>
        <v/>
      </c>
      <c r="M204" s="55">
        <f t="shared" si="9"/>
        <v>0</v>
      </c>
    </row>
    <row r="205" spans="1:13" x14ac:dyDescent="0.25">
      <c r="A205" s="157" t="str">
        <f>'Salary Detail'!A215</f>
        <v/>
      </c>
      <c r="B205" s="53" t="str">
        <f>IF('Salary Detail'!P50="f",'Salary Detail'!C159,"")</f>
        <v/>
      </c>
      <c r="C205" s="53" t="str">
        <f>IF('Salary Detail'!P50="o",'Salary Detail'!C159,"")</f>
        <v/>
      </c>
      <c r="D205" s="53" t="str">
        <f>IF('Salary Detail'!P50="l",'Salary Detail'!C159,"")</f>
        <v/>
      </c>
      <c r="E205" s="53" t="str">
        <f>IF('Salary Detail'!P50="a",'Salary Detail'!C159,"")</f>
        <v/>
      </c>
      <c r="F205" s="53" t="str">
        <f>IF('Salary Detail'!P50="t",'Salary Detail'!C159,"")</f>
        <v/>
      </c>
      <c r="G205" s="53" t="str">
        <f>IF('Salary Detail'!P50="p",'Salary Detail'!C159,"")</f>
        <v/>
      </c>
      <c r="H205" s="53" t="str">
        <f>IF('Salary Detail'!P50="r",'Salary Detail'!C159,"")</f>
        <v/>
      </c>
      <c r="I205" s="53" t="str">
        <f>IF('Salary Detail'!P50="s",'Salary Detail'!C159,"")</f>
        <v/>
      </c>
      <c r="J205" s="53" t="str">
        <f>IF('Salary Detail'!P50="w",'Salary Detail'!C159,"")</f>
        <v/>
      </c>
      <c r="K205" s="53" t="str">
        <f>IF('Salary Detail'!P50="G",'Salary Detail'!C159,"")</f>
        <v/>
      </c>
      <c r="L205" s="53" t="str">
        <f>'Salary Detail'!E159</f>
        <v/>
      </c>
      <c r="M205" s="55">
        <f t="shared" si="9"/>
        <v>0</v>
      </c>
    </row>
    <row r="206" spans="1:13" x14ac:dyDescent="0.25">
      <c r="A206" s="157" t="str">
        <f>'Salary Detail'!A216</f>
        <v/>
      </c>
      <c r="B206" s="53" t="str">
        <f>IF('Salary Detail'!P51="f",'Salary Detail'!C160,"")</f>
        <v/>
      </c>
      <c r="C206" s="53" t="str">
        <f>IF('Salary Detail'!P51="o",'Salary Detail'!C160,"")</f>
        <v/>
      </c>
      <c r="D206" s="53" t="str">
        <f>IF('Salary Detail'!P51="l",'Salary Detail'!C160,"")</f>
        <v/>
      </c>
      <c r="E206" s="53" t="str">
        <f>IF('Salary Detail'!P51="a",'Salary Detail'!C160,"")</f>
        <v/>
      </c>
      <c r="F206" s="53" t="str">
        <f>IF('Salary Detail'!P51="t",'Salary Detail'!C160,"")</f>
        <v/>
      </c>
      <c r="G206" s="53" t="str">
        <f>IF('Salary Detail'!P51="p",'Salary Detail'!C160,"")</f>
        <v/>
      </c>
      <c r="H206" s="53" t="str">
        <f>IF('Salary Detail'!P51="r",'Salary Detail'!C160,"")</f>
        <v/>
      </c>
      <c r="I206" s="53" t="str">
        <f>IF('Salary Detail'!P51="s",'Salary Detail'!C160,"")</f>
        <v/>
      </c>
      <c r="J206" s="53" t="str">
        <f>IF('Salary Detail'!P51="w",'Salary Detail'!C160,"")</f>
        <v/>
      </c>
      <c r="K206" s="53" t="str">
        <f>IF('Salary Detail'!P51="G",'Salary Detail'!C160,"")</f>
        <v/>
      </c>
      <c r="L206" s="53" t="str">
        <f>'Salary Detail'!E160</f>
        <v/>
      </c>
      <c r="M206" s="55">
        <f t="shared" si="9"/>
        <v>0</v>
      </c>
    </row>
    <row r="207" spans="1:13" x14ac:dyDescent="0.25">
      <c r="A207" s="157" t="str">
        <f>'Salary Detail'!A217</f>
        <v/>
      </c>
      <c r="B207" s="53" t="str">
        <f>IF('Salary Detail'!P52="f",'Salary Detail'!C161,"")</f>
        <v/>
      </c>
      <c r="C207" s="53" t="str">
        <f>IF('Salary Detail'!P52="o",'Salary Detail'!C161,"")</f>
        <v/>
      </c>
      <c r="D207" s="53" t="str">
        <f>IF('Salary Detail'!P52="l",'Salary Detail'!C161,"")</f>
        <v/>
      </c>
      <c r="E207" s="53" t="str">
        <f>IF('Salary Detail'!P52="a",'Salary Detail'!C161,"")</f>
        <v/>
      </c>
      <c r="F207" s="53" t="str">
        <f>IF('Salary Detail'!P52="t",'Salary Detail'!C161,"")</f>
        <v/>
      </c>
      <c r="G207" s="53" t="str">
        <f>IF('Salary Detail'!P52="p",'Salary Detail'!C161,"")</f>
        <v/>
      </c>
      <c r="H207" s="53" t="str">
        <f>IF('Salary Detail'!P52="r",'Salary Detail'!C161,"")</f>
        <v/>
      </c>
      <c r="I207" s="53" t="str">
        <f>IF('Salary Detail'!P52="s",'Salary Detail'!C161,"")</f>
        <v/>
      </c>
      <c r="J207" s="53" t="str">
        <f>IF('Salary Detail'!P52="w",'Salary Detail'!C161,"")</f>
        <v/>
      </c>
      <c r="K207" s="53" t="str">
        <f>IF('Salary Detail'!P52="G",'Salary Detail'!C161,"")</f>
        <v/>
      </c>
      <c r="L207" s="53" t="str">
        <f>'Salary Detail'!E161</f>
        <v/>
      </c>
      <c r="M207" s="55">
        <f t="shared" si="9"/>
        <v>0</v>
      </c>
    </row>
    <row r="208" spans="1:13" x14ac:dyDescent="0.25">
      <c r="A208" s="157" t="str">
        <f>'Salary Detail'!A218</f>
        <v/>
      </c>
      <c r="B208" s="53" t="str">
        <f>IF('Salary Detail'!P53="f",'Salary Detail'!C162,"")</f>
        <v/>
      </c>
      <c r="C208" s="53" t="str">
        <f>IF('Salary Detail'!P53="o",'Salary Detail'!C162,"")</f>
        <v/>
      </c>
      <c r="D208" s="53" t="str">
        <f>IF('Salary Detail'!P53="l",'Salary Detail'!C162,"")</f>
        <v/>
      </c>
      <c r="E208" s="53" t="str">
        <f>IF('Salary Detail'!P53="a",'Salary Detail'!C162,"")</f>
        <v/>
      </c>
      <c r="F208" s="53" t="str">
        <f>IF('Salary Detail'!P53="t",'Salary Detail'!C162,"")</f>
        <v/>
      </c>
      <c r="G208" s="53" t="str">
        <f>IF('Salary Detail'!P53="p",'Salary Detail'!C162,"")</f>
        <v/>
      </c>
      <c r="H208" s="53" t="str">
        <f>IF('Salary Detail'!P53="r",'Salary Detail'!C162,"")</f>
        <v/>
      </c>
      <c r="I208" s="53" t="str">
        <f>IF('Salary Detail'!P53="s",'Salary Detail'!C162,"")</f>
        <v/>
      </c>
      <c r="J208" s="53" t="str">
        <f>IF('Salary Detail'!P53="w",'Salary Detail'!C162,"")</f>
        <v/>
      </c>
      <c r="K208" s="53" t="str">
        <f>IF('Salary Detail'!P53="G",'Salary Detail'!C162,"")</f>
        <v/>
      </c>
      <c r="L208" s="53" t="str">
        <f>'Salary Detail'!E162</f>
        <v/>
      </c>
      <c r="M208" s="55">
        <f t="shared" si="9"/>
        <v>0</v>
      </c>
    </row>
    <row r="209" spans="1:13" x14ac:dyDescent="0.25">
      <c r="A209" s="157" t="str">
        <f>'Salary Detail'!A219</f>
        <v/>
      </c>
      <c r="B209" s="53" t="str">
        <f>IF('Salary Detail'!P54="f",'Salary Detail'!C163,"")</f>
        <v/>
      </c>
      <c r="C209" s="53" t="str">
        <f>IF('Salary Detail'!P54="o",'Salary Detail'!C163,"")</f>
        <v/>
      </c>
      <c r="D209" s="53" t="str">
        <f>IF('Salary Detail'!P54="l",'Salary Detail'!C163,"")</f>
        <v/>
      </c>
      <c r="E209" s="53" t="str">
        <f>IF('Salary Detail'!P54="a",'Salary Detail'!C163,"")</f>
        <v/>
      </c>
      <c r="F209" s="53" t="str">
        <f>IF('Salary Detail'!P54="t",'Salary Detail'!C163,"")</f>
        <v/>
      </c>
      <c r="G209" s="53" t="str">
        <f>IF('Salary Detail'!P54="p",'Salary Detail'!C163,"")</f>
        <v/>
      </c>
      <c r="H209" s="53" t="str">
        <f>IF('Salary Detail'!P54="r",'Salary Detail'!C163,"")</f>
        <v/>
      </c>
      <c r="I209" s="53" t="str">
        <f>IF('Salary Detail'!P54="s",'Salary Detail'!C163,"")</f>
        <v/>
      </c>
      <c r="J209" s="53" t="str">
        <f>IF('Salary Detail'!P54="w",'Salary Detail'!C163,"")</f>
        <v/>
      </c>
      <c r="K209" s="53" t="str">
        <f>IF('Salary Detail'!P54="G",'Salary Detail'!C163,"")</f>
        <v/>
      </c>
      <c r="L209" s="53" t="str">
        <f>'Salary Detail'!E163</f>
        <v/>
      </c>
      <c r="M209" s="55">
        <f t="shared" si="9"/>
        <v>0</v>
      </c>
    </row>
    <row r="210" spans="1:13" x14ac:dyDescent="0.25">
      <c r="A210" s="157" t="str">
        <f>'Salary Detail'!A220</f>
        <v/>
      </c>
      <c r="B210" s="53" t="str">
        <f>IF('Salary Detail'!P55="f",'Salary Detail'!C164,"")</f>
        <v/>
      </c>
      <c r="C210" s="53" t="str">
        <f>IF('Salary Detail'!P55="o",'Salary Detail'!C164,"")</f>
        <v/>
      </c>
      <c r="D210" s="53" t="str">
        <f>IF('Salary Detail'!P55="l",'Salary Detail'!C164,"")</f>
        <v/>
      </c>
      <c r="E210" s="53" t="str">
        <f>IF('Salary Detail'!P55="a",'Salary Detail'!C164,"")</f>
        <v/>
      </c>
      <c r="F210" s="53" t="str">
        <f>IF('Salary Detail'!P55="t",'Salary Detail'!C164,"")</f>
        <v/>
      </c>
      <c r="G210" s="53" t="str">
        <f>IF('Salary Detail'!P55="p",'Salary Detail'!C164,"")</f>
        <v/>
      </c>
      <c r="H210" s="53" t="str">
        <f>IF('Salary Detail'!P55="r",'Salary Detail'!C164,"")</f>
        <v/>
      </c>
      <c r="I210" s="53" t="str">
        <f>IF('Salary Detail'!P55="s",'Salary Detail'!C164,"")</f>
        <v/>
      </c>
      <c r="J210" s="53" t="str">
        <f>IF('Salary Detail'!P55="w",'Salary Detail'!C164,"")</f>
        <v/>
      </c>
      <c r="K210" s="53" t="str">
        <f>IF('Salary Detail'!P55="G",'Salary Detail'!C164,"")</f>
        <v/>
      </c>
      <c r="L210" s="53" t="str">
        <f>'Salary Detail'!E164</f>
        <v/>
      </c>
      <c r="M210" s="55">
        <f t="shared" si="9"/>
        <v>0</v>
      </c>
    </row>
    <row r="211" spans="1:13" x14ac:dyDescent="0.25">
      <c r="A211" s="157" t="str">
        <f>'Salary Detail'!A221</f>
        <v/>
      </c>
      <c r="B211" s="53" t="str">
        <f>IF('Salary Detail'!P56="f",'Salary Detail'!C165,"")</f>
        <v/>
      </c>
      <c r="C211" s="53" t="str">
        <f>IF('Salary Detail'!P56="o",'Salary Detail'!C165,"")</f>
        <v/>
      </c>
      <c r="D211" s="53" t="str">
        <f>IF('Salary Detail'!P56="l",'Salary Detail'!C165,"")</f>
        <v/>
      </c>
      <c r="E211" s="53" t="str">
        <f>IF('Salary Detail'!P56="a",'Salary Detail'!C165,"")</f>
        <v/>
      </c>
      <c r="F211" s="53" t="str">
        <f>IF('Salary Detail'!P56="t",'Salary Detail'!C165,"")</f>
        <v/>
      </c>
      <c r="G211" s="53" t="str">
        <f>IF('Salary Detail'!P56="p",'Salary Detail'!C165,"")</f>
        <v/>
      </c>
      <c r="H211" s="53" t="str">
        <f>IF('Salary Detail'!P56="r",'Salary Detail'!C165,"")</f>
        <v/>
      </c>
      <c r="I211" s="53" t="str">
        <f>IF('Salary Detail'!P56="s",'Salary Detail'!C165,"")</f>
        <v/>
      </c>
      <c r="J211" s="53" t="str">
        <f>IF('Salary Detail'!P56="w",'Salary Detail'!C165,"")</f>
        <v/>
      </c>
      <c r="K211" s="53" t="str">
        <f>IF('Salary Detail'!P56="G",'Salary Detail'!C165,"")</f>
        <v/>
      </c>
      <c r="L211" s="53" t="str">
        <f>'Salary Detail'!E165</f>
        <v/>
      </c>
      <c r="M211" s="55">
        <f t="shared" si="9"/>
        <v>0</v>
      </c>
    </row>
    <row r="212" spans="1:13" x14ac:dyDescent="0.25">
      <c r="A212" s="157" t="str">
        <f>'Salary Detail'!A222</f>
        <v/>
      </c>
      <c r="B212" s="53" t="str">
        <f>IF('Salary Detail'!P57="f",'Salary Detail'!C166,"")</f>
        <v/>
      </c>
      <c r="C212" s="53" t="str">
        <f>IF('Salary Detail'!P57="o",'Salary Detail'!C166,"")</f>
        <v/>
      </c>
      <c r="D212" s="53" t="str">
        <f>IF('Salary Detail'!P57="l",'Salary Detail'!C166,"")</f>
        <v/>
      </c>
      <c r="E212" s="53" t="str">
        <f>IF('Salary Detail'!P57="a",'Salary Detail'!C166,"")</f>
        <v/>
      </c>
      <c r="F212" s="53" t="str">
        <f>IF('Salary Detail'!P57="t",'Salary Detail'!C166,"")</f>
        <v/>
      </c>
      <c r="G212" s="53" t="str">
        <f>IF('Salary Detail'!P57="p",'Salary Detail'!C166,"")</f>
        <v/>
      </c>
      <c r="H212" s="53" t="str">
        <f>IF('Salary Detail'!P57="r",'Salary Detail'!C166,"")</f>
        <v/>
      </c>
      <c r="I212" s="53" t="str">
        <f>IF('Salary Detail'!P57="s",'Salary Detail'!C166,"")</f>
        <v/>
      </c>
      <c r="J212" s="53" t="str">
        <f>IF('Salary Detail'!P57="w",'Salary Detail'!C166,"")</f>
        <v/>
      </c>
      <c r="K212" s="53" t="str">
        <f>IF('Salary Detail'!P57="G",'Salary Detail'!C166,"")</f>
        <v/>
      </c>
      <c r="L212" s="53" t="str">
        <f>'Salary Detail'!E166</f>
        <v/>
      </c>
      <c r="M212" s="55">
        <f t="shared" si="9"/>
        <v>0</v>
      </c>
    </row>
    <row r="213" spans="1:13" x14ac:dyDescent="0.25">
      <c r="A213" s="157" t="str">
        <f>'Salary Detail'!A223</f>
        <v/>
      </c>
      <c r="B213" s="53" t="str">
        <f>IF('Salary Detail'!P58="f",'Salary Detail'!C167,"")</f>
        <v/>
      </c>
      <c r="C213" s="53" t="str">
        <f>IF('Salary Detail'!P58="o",'Salary Detail'!C167,"")</f>
        <v/>
      </c>
      <c r="D213" s="53" t="str">
        <f>IF('Salary Detail'!P58="l",'Salary Detail'!C167,"")</f>
        <v/>
      </c>
      <c r="E213" s="53" t="str">
        <f>IF('Salary Detail'!P58="a",'Salary Detail'!C167,"")</f>
        <v/>
      </c>
      <c r="F213" s="53" t="str">
        <f>IF('Salary Detail'!P58="t",'Salary Detail'!C167,"")</f>
        <v/>
      </c>
      <c r="G213" s="53" t="str">
        <f>IF('Salary Detail'!P58="p",'Salary Detail'!C167,"")</f>
        <v/>
      </c>
      <c r="H213" s="53" t="str">
        <f>IF('Salary Detail'!P58="r",'Salary Detail'!C167,"")</f>
        <v/>
      </c>
      <c r="I213" s="53" t="str">
        <f>IF('Salary Detail'!P58="s",'Salary Detail'!C167,"")</f>
        <v/>
      </c>
      <c r="J213" s="53" t="str">
        <f>IF('Salary Detail'!P58="w",'Salary Detail'!C167,"")</f>
        <v/>
      </c>
      <c r="K213" s="53" t="str">
        <f>IF('Salary Detail'!P58="G",'Salary Detail'!C167,"")</f>
        <v/>
      </c>
      <c r="L213" s="53" t="str">
        <f>'Salary Detail'!E167</f>
        <v/>
      </c>
      <c r="M213" s="55">
        <f t="shared" si="9"/>
        <v>0</v>
      </c>
    </row>
    <row r="214" spans="1:13" x14ac:dyDescent="0.25">
      <c r="A214" s="157" t="str">
        <f>'Salary Detail'!A224</f>
        <v/>
      </c>
      <c r="B214" s="53" t="str">
        <f>IF('Salary Detail'!P59="f",'Salary Detail'!C168,"")</f>
        <v/>
      </c>
      <c r="C214" s="53" t="str">
        <f>IF('Salary Detail'!P59="o",'Salary Detail'!C168,"")</f>
        <v/>
      </c>
      <c r="D214" s="53" t="str">
        <f>IF('Salary Detail'!P59="l",'Salary Detail'!C168,"")</f>
        <v/>
      </c>
      <c r="E214" s="53" t="str">
        <f>IF('Salary Detail'!P59="a",'Salary Detail'!C168,"")</f>
        <v/>
      </c>
      <c r="F214" s="53" t="str">
        <f>IF('Salary Detail'!P59="t",'Salary Detail'!C168,"")</f>
        <v/>
      </c>
      <c r="G214" s="53" t="str">
        <f>IF('Salary Detail'!P59="p",'Salary Detail'!C168,"")</f>
        <v/>
      </c>
      <c r="H214" s="53" t="str">
        <f>IF('Salary Detail'!P59="r",'Salary Detail'!C168,"")</f>
        <v/>
      </c>
      <c r="I214" s="53" t="str">
        <f>IF('Salary Detail'!P59="s",'Salary Detail'!C168,"")</f>
        <v/>
      </c>
      <c r="J214" s="53" t="str">
        <f>IF('Salary Detail'!P59="w",'Salary Detail'!C168,"")</f>
        <v/>
      </c>
      <c r="K214" s="53" t="str">
        <f>IF('Salary Detail'!P59="G",'Salary Detail'!C168,"")</f>
        <v/>
      </c>
      <c r="L214" s="53" t="str">
        <f>'Salary Detail'!E168</f>
        <v/>
      </c>
      <c r="M214" s="55">
        <f t="shared" si="9"/>
        <v>0</v>
      </c>
    </row>
    <row r="215" spans="1:13" x14ac:dyDescent="0.25">
      <c r="A215" s="157" t="str">
        <f>'Salary Detail'!A225</f>
        <v/>
      </c>
      <c r="B215" s="53" t="str">
        <f>IF('Salary Detail'!P60="f",'Salary Detail'!C169,"")</f>
        <v/>
      </c>
      <c r="C215" s="53" t="str">
        <f>IF('Salary Detail'!P60="o",'Salary Detail'!C169,"")</f>
        <v/>
      </c>
      <c r="D215" s="53" t="str">
        <f>IF('Salary Detail'!P60="l",'Salary Detail'!C169,"")</f>
        <v/>
      </c>
      <c r="E215" s="53" t="str">
        <f>IF('Salary Detail'!P60="a",'Salary Detail'!C169,"")</f>
        <v/>
      </c>
      <c r="F215" s="53" t="str">
        <f>IF('Salary Detail'!P60="t",'Salary Detail'!C169,"")</f>
        <v/>
      </c>
      <c r="G215" s="53" t="str">
        <f>IF('Salary Detail'!P60="p",'Salary Detail'!C169,"")</f>
        <v/>
      </c>
      <c r="H215" s="53" t="str">
        <f>IF('Salary Detail'!P60="r",'Salary Detail'!C169,"")</f>
        <v/>
      </c>
      <c r="I215" s="53" t="str">
        <f>IF('Salary Detail'!P60="s",'Salary Detail'!C169,"")</f>
        <v/>
      </c>
      <c r="J215" s="53" t="str">
        <f>IF('Salary Detail'!P60="w",'Salary Detail'!C169,"")</f>
        <v/>
      </c>
      <c r="K215" s="53" t="str">
        <f>IF('Salary Detail'!P60="G",'Salary Detail'!C169,"")</f>
        <v/>
      </c>
      <c r="L215" s="53" t="str">
        <f>'Salary Detail'!E169</f>
        <v/>
      </c>
      <c r="M215" s="55">
        <f t="shared" si="9"/>
        <v>0</v>
      </c>
    </row>
    <row r="216" spans="1:13" x14ac:dyDescent="0.25">
      <c r="A216" s="157" t="str">
        <f>'Salary Detail'!A226</f>
        <v/>
      </c>
      <c r="B216" s="53" t="str">
        <f>IF('Salary Detail'!P61="f",'Salary Detail'!C170,"")</f>
        <v/>
      </c>
      <c r="C216" s="53" t="str">
        <f>IF('Salary Detail'!P61="o",'Salary Detail'!C170,"")</f>
        <v/>
      </c>
      <c r="D216" s="53" t="str">
        <f>IF('Salary Detail'!P61="l",'Salary Detail'!C170,"")</f>
        <v/>
      </c>
      <c r="E216" s="53" t="str">
        <f>IF('Salary Detail'!P61="a",'Salary Detail'!C170,"")</f>
        <v/>
      </c>
      <c r="F216" s="53" t="str">
        <f>IF('Salary Detail'!P61="t",'Salary Detail'!C170,"")</f>
        <v/>
      </c>
      <c r="G216" s="53" t="str">
        <f>IF('Salary Detail'!P61="p",'Salary Detail'!C170,"")</f>
        <v/>
      </c>
      <c r="H216" s="53" t="str">
        <f>IF('Salary Detail'!P61="r",'Salary Detail'!C170,"")</f>
        <v/>
      </c>
      <c r="I216" s="53" t="str">
        <f>IF('Salary Detail'!P61="s",'Salary Detail'!C170,"")</f>
        <v/>
      </c>
      <c r="J216" s="53" t="str">
        <f>IF('Salary Detail'!P61="w",'Salary Detail'!C170,"")</f>
        <v/>
      </c>
      <c r="K216" s="53" t="str">
        <f>IF('Salary Detail'!P61="G",'Salary Detail'!C170,"")</f>
        <v/>
      </c>
      <c r="L216" s="53" t="str">
        <f>'Salary Detail'!E170</f>
        <v/>
      </c>
      <c r="M216" s="55">
        <f t="shared" si="9"/>
        <v>0</v>
      </c>
    </row>
    <row r="217" spans="1:13" x14ac:dyDescent="0.25">
      <c r="A217" s="157" t="str">
        <f>'Salary Detail'!A227</f>
        <v/>
      </c>
      <c r="B217" s="53" t="str">
        <f>IF('Salary Detail'!P62="f",'Salary Detail'!C171,"")</f>
        <v/>
      </c>
      <c r="C217" s="53" t="str">
        <f>IF('Salary Detail'!P62="o",'Salary Detail'!C171,"")</f>
        <v/>
      </c>
      <c r="D217" s="53" t="str">
        <f>IF('Salary Detail'!P62="l",'Salary Detail'!C171,"")</f>
        <v/>
      </c>
      <c r="E217" s="53" t="str">
        <f>IF('Salary Detail'!P62="a",'Salary Detail'!C171,"")</f>
        <v/>
      </c>
      <c r="F217" s="53" t="str">
        <f>IF('Salary Detail'!P62="t",'Salary Detail'!C171,"")</f>
        <v/>
      </c>
      <c r="G217" s="53" t="str">
        <f>IF('Salary Detail'!P62="p",'Salary Detail'!C171,"")</f>
        <v/>
      </c>
      <c r="H217" s="53" t="str">
        <f>IF('Salary Detail'!P62="r",'Salary Detail'!C171,"")</f>
        <v/>
      </c>
      <c r="I217" s="53" t="str">
        <f>IF('Salary Detail'!P62="s",'Salary Detail'!C171,"")</f>
        <v/>
      </c>
      <c r="J217" s="53" t="str">
        <f>IF('Salary Detail'!P62="w",'Salary Detail'!C171,"")</f>
        <v/>
      </c>
      <c r="K217" s="53" t="str">
        <f>IF('Salary Detail'!P62="G",'Salary Detail'!C171,"")</f>
        <v/>
      </c>
      <c r="L217" s="53" t="str">
        <f>'Salary Detail'!E171</f>
        <v/>
      </c>
      <c r="M217" s="55">
        <f t="shared" si="9"/>
        <v>0</v>
      </c>
    </row>
    <row r="218" spans="1:13" ht="13" thickBot="1" x14ac:dyDescent="0.3">
      <c r="A218" s="158" t="str">
        <f>'Salary Detail'!A228</f>
        <v/>
      </c>
      <c r="B218" s="53" t="str">
        <f>IF('Salary Detail'!P63="f",'Salary Detail'!C172,"")</f>
        <v/>
      </c>
      <c r="C218" s="53" t="str">
        <f>IF('Salary Detail'!P63="o",'Salary Detail'!C172,"")</f>
        <v/>
      </c>
      <c r="D218" s="53" t="str">
        <f>IF('Salary Detail'!P63="l",'Salary Detail'!C172,"")</f>
        <v/>
      </c>
      <c r="E218" s="152" t="str">
        <f>IF('Salary Detail'!P63="a",'Salary Detail'!C172,"")</f>
        <v/>
      </c>
      <c r="F218" s="152" t="str">
        <f>IF('Salary Detail'!P63="t",'Salary Detail'!C172,"")</f>
        <v/>
      </c>
      <c r="G218" s="152" t="str">
        <f>IF('Salary Detail'!P63="p",'Salary Detail'!C172,"")</f>
        <v/>
      </c>
      <c r="H218" s="152" t="str">
        <f>IF('Salary Detail'!P63="r",'Salary Detail'!C172,"")</f>
        <v/>
      </c>
      <c r="I218" s="152" t="str">
        <f>IF('Salary Detail'!P63="s",'Salary Detail'!C172,"")</f>
        <v/>
      </c>
      <c r="J218" s="152" t="str">
        <f>IF('Salary Detail'!P63="w",'Salary Detail'!C172,"")</f>
        <v/>
      </c>
      <c r="K218" s="152" t="str">
        <f>IF('Salary Detail'!P63="G",'Salary Detail'!C172,"")</f>
        <v/>
      </c>
      <c r="L218" s="152" t="str">
        <f>'Salary Detail'!E172</f>
        <v/>
      </c>
      <c r="M218" s="55">
        <f t="shared" si="9"/>
        <v>0</v>
      </c>
    </row>
    <row r="219" spans="1:13" ht="13" x14ac:dyDescent="0.3">
      <c r="A219" s="75" t="s">
        <v>72</v>
      </c>
      <c r="B219" s="73">
        <f t="shared" ref="B219:K219" si="10">SUM(B179:B218)</f>
        <v>0</v>
      </c>
      <c r="C219" s="73">
        <f t="shared" si="10"/>
        <v>0</v>
      </c>
      <c r="D219" s="73">
        <f t="shared" si="10"/>
        <v>0</v>
      </c>
      <c r="E219" s="73">
        <f t="shared" si="10"/>
        <v>0</v>
      </c>
      <c r="F219" s="73">
        <f t="shared" si="10"/>
        <v>0</v>
      </c>
      <c r="G219" s="73">
        <f t="shared" si="10"/>
        <v>0</v>
      </c>
      <c r="H219" s="73">
        <f t="shared" si="10"/>
        <v>0</v>
      </c>
      <c r="I219" s="73">
        <f t="shared" si="10"/>
        <v>0</v>
      </c>
      <c r="J219" s="73">
        <f t="shared" si="10"/>
        <v>0</v>
      </c>
      <c r="K219" s="73">
        <f t="shared" si="10"/>
        <v>0</v>
      </c>
      <c r="L219" s="375"/>
      <c r="M219" s="74">
        <f>SUM(M179:M218)</f>
        <v>0</v>
      </c>
    </row>
    <row r="220" spans="1:13" ht="13" x14ac:dyDescent="0.3">
      <c r="A220" s="386" t="s">
        <v>285</v>
      </c>
      <c r="B220" s="94">
        <f>Year1Weight*VLOOKUP("F",FringeTable,2,FALSE)+Year2Weight*VLOOKUP("F",FringeTable,3,FALSE)+Year3Weight*VLOOKUP("F",FringeTable,4,FALSE)</f>
        <v>0.3</v>
      </c>
      <c r="C220" s="94">
        <f>Year1Weight*VLOOKUP("A",FringeTable,2,FALSE)+Year2Weight*VLOOKUP("A",FringeTable,3,FALSE)+Year3Weight*VLOOKUP("A",FringeTable,4,FALSE)</f>
        <v>0.38</v>
      </c>
      <c r="D220" s="94">
        <f>Year1Weight*VLOOKUP("A",FringeTable,2,FALSE)+Year2Weight*VLOOKUP("A",FringeTable,3,FALSE)+Year3Weight*VLOOKUP("A",FringeTable,4,FALSE)</f>
        <v>0.38</v>
      </c>
      <c r="E220" s="94">
        <f>Year1Weight*VLOOKUP("A",FringeTable,2,FALSE)+Year2Weight*VLOOKUP("A",FringeTable,3,FALSE)+Year3Weight*VLOOKUP("A",FringeTable,4,FALSE)</f>
        <v>0.38</v>
      </c>
      <c r="F220" s="94">
        <f>VLOOKUP("t",[0]!fringes,2,FALSE)</f>
        <v>0.24</v>
      </c>
      <c r="G220" s="94">
        <f>Year1Weight*VLOOKUP("P",FringeTable,2,FALSE)+Year2Weight*VLOOKUP("P",FringeTable,3,FALSE)+Year3Weight*VLOOKUP("P",FringeTable,4,FALSE)</f>
        <v>0.26</v>
      </c>
      <c r="H220" s="94">
        <f>VLOOKUP("r",[0]!fringes,2,FALSE)</f>
        <v>8.1000000000000003E-2</v>
      </c>
      <c r="I220" s="94">
        <f>VLOOKUP("s",[0]!fringes,2,FALSE)</f>
        <v>0.01</v>
      </c>
      <c r="J220" s="94">
        <f>VLOOKUP("w",[0]!fringes,2,FALSE)</f>
        <v>0.01</v>
      </c>
      <c r="K220" s="369" t="s">
        <v>261</v>
      </c>
      <c r="L220" s="51">
        <f>SUM(B219:K219)</f>
        <v>0</v>
      </c>
      <c r="M220" s="372" t="s">
        <v>22</v>
      </c>
    </row>
    <row r="221" spans="1:13" ht="13" x14ac:dyDescent="0.3">
      <c r="A221" s="49" t="s">
        <v>73</v>
      </c>
      <c r="B221" s="51">
        <f>SUMIF('Salary Detail'!$P$24:$P$63,"f",'Salary Detail'!$E$133:$E$172)</f>
        <v>0</v>
      </c>
      <c r="C221" s="51">
        <f>SUMIF('Salary Detail'!$P$24:$P$63,"O",'Salary Detail'!$E$133:$E$172)</f>
        <v>0</v>
      </c>
      <c r="D221" s="51">
        <f>SUMIF('Salary Detail'!$P$24:$P$63,"L",'Salary Detail'!$E$133:$E$172)</f>
        <v>0</v>
      </c>
      <c r="E221" s="51">
        <f>SUMIF('Salary Detail'!$P$24:$P$63,"a",'Salary Detail'!$E$133:$E$172)</f>
        <v>0</v>
      </c>
      <c r="F221" s="51">
        <f>SUMIF('Salary Detail'!$P$24:$P$63,"t",'Salary Detail'!$E$133:$E$172)</f>
        <v>0</v>
      </c>
      <c r="G221" s="51">
        <f>SUMIF('Salary Detail'!$P$24:$P$63,"p",'Salary Detail'!$E$133:$E$172)</f>
        <v>0</v>
      </c>
      <c r="H221" s="51">
        <f>SUMIF('Salary Detail'!$P$24:$P$63,"r",'Salary Detail'!$E$133:$E$172)</f>
        <v>0</v>
      </c>
      <c r="I221" s="51">
        <f>SUMIF('Salary Detail'!$P$24:$P$63,"s",'Salary Detail'!$E$133:$E$172)</f>
        <v>0</v>
      </c>
      <c r="J221" s="51">
        <f>SUMIF('Salary Detail'!$P$24:$P$63,"w",'Salary Detail'!$E$133:$E$172)</f>
        <v>0</v>
      </c>
      <c r="K221" s="51">
        <f>SUMIF('Salary Detail'!$P$24:$P$63,"g",'Salary Detail'!$E$133:$E$172)</f>
        <v>0</v>
      </c>
      <c r="L221" s="376">
        <f>SUM(B221:K221)</f>
        <v>0</v>
      </c>
      <c r="M221" s="373" t="s">
        <v>81</v>
      </c>
    </row>
    <row r="222" spans="1:13" ht="13.5" thickBot="1" x14ac:dyDescent="0.35">
      <c r="A222" s="153" t="s">
        <v>74</v>
      </c>
      <c r="B222" s="154">
        <f t="shared" ref="B222:K222" si="11">B219+B221</f>
        <v>0</v>
      </c>
      <c r="C222" s="154">
        <f t="shared" si="11"/>
        <v>0</v>
      </c>
      <c r="D222" s="154">
        <f t="shared" si="11"/>
        <v>0</v>
      </c>
      <c r="E222" s="154">
        <f t="shared" si="11"/>
        <v>0</v>
      </c>
      <c r="F222" s="154">
        <f t="shared" si="11"/>
        <v>0</v>
      </c>
      <c r="G222" s="154">
        <f t="shared" si="11"/>
        <v>0</v>
      </c>
      <c r="H222" s="154">
        <f t="shared" si="11"/>
        <v>0</v>
      </c>
      <c r="I222" s="154">
        <f t="shared" si="11"/>
        <v>0</v>
      </c>
      <c r="J222" s="154">
        <f t="shared" si="11"/>
        <v>0</v>
      </c>
      <c r="K222" s="154">
        <f t="shared" si="11"/>
        <v>0</v>
      </c>
      <c r="L222" s="371">
        <f>SUM(B222:K222)</f>
        <v>0</v>
      </c>
      <c r="M222" s="385" t="s">
        <v>286</v>
      </c>
    </row>
    <row r="223" spans="1:13" ht="13" x14ac:dyDescent="0.3">
      <c r="A223" s="59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1"/>
    </row>
    <row r="224" spans="1:13" ht="13" x14ac:dyDescent="0.3">
      <c r="A224" s="972" t="s">
        <v>278</v>
      </c>
      <c r="B224" s="971"/>
      <c r="C224" s="971"/>
      <c r="D224" s="971"/>
      <c r="E224" s="971"/>
      <c r="F224" s="971"/>
      <c r="G224" s="971"/>
      <c r="H224" s="971"/>
      <c r="I224" s="971"/>
      <c r="J224" s="971"/>
      <c r="K224" s="971"/>
      <c r="L224" s="971"/>
      <c r="M224" s="971"/>
    </row>
    <row r="225" spans="1:13" ht="13" x14ac:dyDescent="0.3">
      <c r="A225" s="2" t="s">
        <v>65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"/>
    </row>
    <row r="226" spans="1:13" ht="13" x14ac:dyDescent="0.3">
      <c r="A226" s="23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"/>
    </row>
    <row r="227" spans="1:13" x14ac:dyDescent="0.25">
      <c r="E227" s="77" t="s">
        <v>138</v>
      </c>
      <c r="F227" s="967" t="str">
        <f>IF('Salary Detail'!E5=0,"",'Salary Detail'!E5)</f>
        <v/>
      </c>
      <c r="G227" s="943"/>
      <c r="H227" s="943"/>
      <c r="I227" s="943"/>
      <c r="J227" s="159"/>
      <c r="K227" s="159"/>
      <c r="L227" s="159"/>
    </row>
    <row r="228" spans="1:13" x14ac:dyDescent="0.25">
      <c r="E228" s="77" t="s">
        <v>8</v>
      </c>
      <c r="F228" s="967" t="str">
        <f>IF('Salary Detail'!E6=0,"",'Salary Detail'!E6)</f>
        <v/>
      </c>
      <c r="G228" s="943"/>
      <c r="H228" s="943"/>
      <c r="I228" s="943"/>
      <c r="J228" s="159"/>
      <c r="K228" s="159"/>
      <c r="L228" s="159"/>
      <c r="M228" s="78"/>
    </row>
    <row r="229" spans="1:13" x14ac:dyDescent="0.25">
      <c r="E229" s="77" t="s">
        <v>122</v>
      </c>
      <c r="F229" s="967" t="str">
        <f>IF('Salary Detail'!E7=0,"",'Salary Detail'!E7)</f>
        <v/>
      </c>
      <c r="G229" s="943"/>
      <c r="H229" s="943"/>
      <c r="I229" s="943"/>
      <c r="J229" s="147"/>
      <c r="K229" s="147"/>
      <c r="L229" s="147"/>
      <c r="M229" s="78"/>
    </row>
    <row r="230" spans="1:13" x14ac:dyDescent="0.25">
      <c r="E230" s="77" t="s">
        <v>10</v>
      </c>
      <c r="F230" s="967" t="str">
        <f>IF('Salary Detail'!E8=0,"",'Salary Detail'!E8)</f>
        <v/>
      </c>
      <c r="G230" s="943"/>
      <c r="H230" s="943"/>
      <c r="I230" s="943"/>
      <c r="J230" s="147"/>
      <c r="K230" s="147"/>
      <c r="L230" s="147"/>
    </row>
    <row r="231" spans="1:13" x14ac:dyDescent="0.25">
      <c r="A231" s="77"/>
      <c r="B231" s="62"/>
      <c r="C231" s="62"/>
      <c r="D231" s="62"/>
      <c r="G231" s="77"/>
      <c r="H231" s="7"/>
    </row>
    <row r="232" spans="1:13" ht="13" x14ac:dyDescent="0.3">
      <c r="A232" s="381" t="s">
        <v>287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5"/>
    </row>
    <row r="233" spans="1:13" x14ac:dyDescent="0.25">
      <c r="A233" s="49"/>
      <c r="B233" s="50" t="s">
        <v>67</v>
      </c>
      <c r="C233" s="56" t="s">
        <v>274</v>
      </c>
      <c r="D233" s="56" t="s">
        <v>275</v>
      </c>
      <c r="E233" s="56" t="s">
        <v>273</v>
      </c>
      <c r="F233" s="50" t="s">
        <v>69</v>
      </c>
      <c r="G233" s="56" t="s">
        <v>116</v>
      </c>
      <c r="H233" s="70" t="s">
        <v>135</v>
      </c>
      <c r="I233" s="6" t="s">
        <v>70</v>
      </c>
      <c r="J233" s="50" t="s">
        <v>71</v>
      </c>
      <c r="K233" s="56" t="s">
        <v>253</v>
      </c>
      <c r="L233" s="56" t="s">
        <v>23</v>
      </c>
      <c r="M233" s="50" t="s">
        <v>46</v>
      </c>
    </row>
    <row r="234" spans="1:13" x14ac:dyDescent="0.25">
      <c r="A234" s="156" t="str">
        <f>'Salary Detail'!A243</f>
        <v/>
      </c>
      <c r="B234" s="53" t="str">
        <f>IF('Salary Detail'!P24="f",'Salary Detail'!L133,"")</f>
        <v/>
      </c>
      <c r="C234" s="53" t="str">
        <f>IF('Salary Detail'!P24="o",'Salary Detail'!L133,"")</f>
        <v/>
      </c>
      <c r="D234" s="53" t="str">
        <f>IF('Salary Detail'!P24="l",'Salary Detail'!L133,"")</f>
        <v/>
      </c>
      <c r="E234" s="52" t="str">
        <f>IF('Salary Detail'!P24="a",'Salary Detail'!L133,"")</f>
        <v/>
      </c>
      <c r="F234" s="52" t="str">
        <f>IF('Salary Detail'!P24="t",'Salary Detail'!L133,"")</f>
        <v/>
      </c>
      <c r="G234" s="52" t="str">
        <f>IF('Salary Detail'!P24="p",'Salary Detail'!L133,"")</f>
        <v/>
      </c>
      <c r="H234" s="52" t="str">
        <f>IF('Salary Detail'!P24="r",'Salary Detail'!L133,"")</f>
        <v/>
      </c>
      <c r="I234" s="52" t="str">
        <f>IF('Salary Detail'!P24="s",'Salary Detail'!L133,"")</f>
        <v/>
      </c>
      <c r="J234" s="52" t="str">
        <f>IF('Salary Detail'!P24="w",'Salary Detail'!L133,"")</f>
        <v/>
      </c>
      <c r="K234" s="52" t="str">
        <f>IF('Salary Detail'!P24="G",'Salary Detail'!L133,"")</f>
        <v/>
      </c>
      <c r="L234" s="52" t="str">
        <f>'Salary Detail'!M133</f>
        <v/>
      </c>
      <c r="M234" s="54">
        <f t="shared" ref="M234:M273" si="12">SUM(B234:L234)</f>
        <v>0</v>
      </c>
    </row>
    <row r="235" spans="1:13" x14ac:dyDescent="0.25">
      <c r="A235" s="157" t="str">
        <f>'Salary Detail'!A244</f>
        <v/>
      </c>
      <c r="B235" s="53" t="str">
        <f>IF('Salary Detail'!P25="f",'Salary Detail'!L134,"")</f>
        <v/>
      </c>
      <c r="C235" s="53" t="str">
        <f>IF('Salary Detail'!P25="o",'Salary Detail'!L134,"")</f>
        <v/>
      </c>
      <c r="D235" s="53" t="str">
        <f>IF('Salary Detail'!P25="l",'Salary Detail'!L134,"")</f>
        <v/>
      </c>
      <c r="E235" s="53" t="str">
        <f>IF('Salary Detail'!P25="a",'Salary Detail'!L134,"")</f>
        <v/>
      </c>
      <c r="F235" s="53" t="str">
        <f>IF('Salary Detail'!P25="t",'Salary Detail'!L134,"")</f>
        <v/>
      </c>
      <c r="G235" s="53" t="str">
        <f>IF('Salary Detail'!P25="p",'Salary Detail'!L134,"")</f>
        <v/>
      </c>
      <c r="H235" s="53" t="str">
        <f>IF('Salary Detail'!P25="r",'Salary Detail'!L134,"")</f>
        <v/>
      </c>
      <c r="I235" s="53" t="str">
        <f>IF('Salary Detail'!P25="s",'Salary Detail'!L134,"")</f>
        <v/>
      </c>
      <c r="J235" s="53" t="str">
        <f>IF('Salary Detail'!P25="w",'Salary Detail'!L134,"")</f>
        <v/>
      </c>
      <c r="K235" s="53" t="str">
        <f>IF('Salary Detail'!P25="G",'Salary Detail'!L134,"")</f>
        <v/>
      </c>
      <c r="L235" s="53" t="str">
        <f>'Salary Detail'!M134</f>
        <v/>
      </c>
      <c r="M235" s="55">
        <f t="shared" si="12"/>
        <v>0</v>
      </c>
    </row>
    <row r="236" spans="1:13" x14ac:dyDescent="0.25">
      <c r="A236" s="157" t="str">
        <f>'Salary Detail'!A245</f>
        <v/>
      </c>
      <c r="B236" s="53" t="str">
        <f>IF('Salary Detail'!P26="f",'Salary Detail'!L135,"")</f>
        <v/>
      </c>
      <c r="C236" s="53" t="str">
        <f>IF('Salary Detail'!P26="o",'Salary Detail'!L135,"")</f>
        <v/>
      </c>
      <c r="D236" s="53" t="str">
        <f>IF('Salary Detail'!P26="l",'Salary Detail'!L135,"")</f>
        <v/>
      </c>
      <c r="E236" s="53" t="str">
        <f>IF('Salary Detail'!P26="a",'Salary Detail'!L135,"")</f>
        <v/>
      </c>
      <c r="F236" s="53" t="str">
        <f>IF('Salary Detail'!P26="t",'Salary Detail'!L135,"")</f>
        <v/>
      </c>
      <c r="G236" s="53" t="str">
        <f>IF('Salary Detail'!P26="p",'Salary Detail'!L135,"")</f>
        <v/>
      </c>
      <c r="H236" s="53" t="str">
        <f>IF('Salary Detail'!P26="r",'Salary Detail'!L135,"")</f>
        <v/>
      </c>
      <c r="I236" s="53" t="str">
        <f>IF('Salary Detail'!P26="s",'Salary Detail'!L135,"")</f>
        <v/>
      </c>
      <c r="J236" s="53" t="str">
        <f>IF('Salary Detail'!P26="w",'Salary Detail'!L135,"")</f>
        <v/>
      </c>
      <c r="K236" s="53" t="str">
        <f>IF('Salary Detail'!P26="G",'Salary Detail'!L135,"")</f>
        <v/>
      </c>
      <c r="L236" s="53" t="str">
        <f>'Salary Detail'!M135</f>
        <v/>
      </c>
      <c r="M236" s="55">
        <f t="shared" si="12"/>
        <v>0</v>
      </c>
    </row>
    <row r="237" spans="1:13" x14ac:dyDescent="0.25">
      <c r="A237" s="157" t="str">
        <f>'Salary Detail'!A246</f>
        <v/>
      </c>
      <c r="B237" s="53" t="str">
        <f>IF('Salary Detail'!P27="f",'Salary Detail'!L136,"")</f>
        <v/>
      </c>
      <c r="C237" s="53" t="str">
        <f>IF('Salary Detail'!P27="o",'Salary Detail'!L136,"")</f>
        <v/>
      </c>
      <c r="D237" s="53" t="str">
        <f>IF('Salary Detail'!P27="l",'Salary Detail'!L136,"")</f>
        <v/>
      </c>
      <c r="E237" s="53" t="str">
        <f>IF('Salary Detail'!P27="a",'Salary Detail'!L136,"")</f>
        <v/>
      </c>
      <c r="F237" s="53" t="str">
        <f>IF('Salary Detail'!P27="t",'Salary Detail'!L136,"")</f>
        <v/>
      </c>
      <c r="G237" s="53" t="str">
        <f>IF('Salary Detail'!P27="p",'Salary Detail'!L136,"")</f>
        <v/>
      </c>
      <c r="H237" s="53" t="str">
        <f>IF('Salary Detail'!P27="r",'Salary Detail'!L136,"")</f>
        <v/>
      </c>
      <c r="I237" s="53" t="str">
        <f>IF('Salary Detail'!P27="s",'Salary Detail'!L136,"")</f>
        <v/>
      </c>
      <c r="J237" s="53" t="str">
        <f>IF('Salary Detail'!P27="w",'Salary Detail'!L136,"")</f>
        <v/>
      </c>
      <c r="K237" s="53" t="str">
        <f>IF('Salary Detail'!P27="G",'Salary Detail'!L136,"")</f>
        <v/>
      </c>
      <c r="L237" s="53" t="str">
        <f>'Salary Detail'!M136</f>
        <v/>
      </c>
      <c r="M237" s="55">
        <f t="shared" si="12"/>
        <v>0</v>
      </c>
    </row>
    <row r="238" spans="1:13" x14ac:dyDescent="0.25">
      <c r="A238" s="157" t="str">
        <f>'Salary Detail'!A247</f>
        <v/>
      </c>
      <c r="B238" s="53" t="str">
        <f>IF('Salary Detail'!P28="f",'Salary Detail'!L137,"")</f>
        <v/>
      </c>
      <c r="C238" s="53" t="str">
        <f>IF('Salary Detail'!P28="o",'Salary Detail'!L137,"")</f>
        <v/>
      </c>
      <c r="D238" s="53" t="str">
        <f>IF('Salary Detail'!P28="l",'Salary Detail'!L137,"")</f>
        <v/>
      </c>
      <c r="E238" s="53" t="str">
        <f>IF('Salary Detail'!P28="a",'Salary Detail'!L137,"")</f>
        <v/>
      </c>
      <c r="F238" s="53" t="str">
        <f>IF('Salary Detail'!P28="t",'Salary Detail'!L137,"")</f>
        <v/>
      </c>
      <c r="G238" s="53" t="str">
        <f>IF('Salary Detail'!P28="p",'Salary Detail'!L137,"")</f>
        <v/>
      </c>
      <c r="H238" s="53" t="str">
        <f>IF('Salary Detail'!P28="r",'Salary Detail'!L137,"")</f>
        <v/>
      </c>
      <c r="I238" s="53" t="str">
        <f>IF('Salary Detail'!P28="s",'Salary Detail'!L137,"")</f>
        <v/>
      </c>
      <c r="J238" s="53" t="str">
        <f>IF('Salary Detail'!P28="w",'Salary Detail'!L137,"")</f>
        <v/>
      </c>
      <c r="K238" s="53" t="str">
        <f>IF('Salary Detail'!P28="G",'Salary Detail'!L137,"")</f>
        <v/>
      </c>
      <c r="L238" s="53" t="str">
        <f>'Salary Detail'!M137</f>
        <v/>
      </c>
      <c r="M238" s="55">
        <f t="shared" si="12"/>
        <v>0</v>
      </c>
    </row>
    <row r="239" spans="1:13" x14ac:dyDescent="0.25">
      <c r="A239" s="157" t="str">
        <f>'Salary Detail'!A248</f>
        <v/>
      </c>
      <c r="B239" s="53" t="str">
        <f>IF('Salary Detail'!P29="f",'Salary Detail'!L138,"")</f>
        <v/>
      </c>
      <c r="C239" s="53" t="str">
        <f>IF('Salary Detail'!P29="o",'Salary Detail'!L138,"")</f>
        <v/>
      </c>
      <c r="D239" s="53" t="str">
        <f>IF('Salary Detail'!P29="l",'Salary Detail'!L138,"")</f>
        <v/>
      </c>
      <c r="E239" s="53" t="str">
        <f>IF('Salary Detail'!P29="a",'Salary Detail'!L138,"")</f>
        <v/>
      </c>
      <c r="F239" s="53" t="str">
        <f>IF('Salary Detail'!P29="t",'Salary Detail'!L138,"")</f>
        <v/>
      </c>
      <c r="G239" s="53" t="str">
        <f>IF('Salary Detail'!P29="p",'Salary Detail'!L138,"")</f>
        <v/>
      </c>
      <c r="H239" s="53" t="str">
        <f>IF('Salary Detail'!P29="r",'Salary Detail'!L138,"")</f>
        <v/>
      </c>
      <c r="I239" s="53" t="str">
        <f>IF('Salary Detail'!P29="s",'Salary Detail'!L138,"")</f>
        <v/>
      </c>
      <c r="J239" s="53" t="str">
        <f>IF('Salary Detail'!P29="w",'Salary Detail'!L138,"")</f>
        <v/>
      </c>
      <c r="K239" s="53" t="str">
        <f>IF('Salary Detail'!P29="G",'Salary Detail'!L138,"")</f>
        <v/>
      </c>
      <c r="L239" s="53" t="str">
        <f>'Salary Detail'!M138</f>
        <v/>
      </c>
      <c r="M239" s="55">
        <f t="shared" si="12"/>
        <v>0</v>
      </c>
    </row>
    <row r="240" spans="1:13" x14ac:dyDescent="0.25">
      <c r="A240" s="157" t="str">
        <f>'Salary Detail'!A249</f>
        <v/>
      </c>
      <c r="B240" s="53" t="str">
        <f>IF('Salary Detail'!P30="f",'Salary Detail'!L139,"")</f>
        <v/>
      </c>
      <c r="C240" s="53" t="str">
        <f>IF('Salary Detail'!P30="o",'Salary Detail'!L139,"")</f>
        <v/>
      </c>
      <c r="D240" s="53" t="str">
        <f>IF('Salary Detail'!P30="l",'Salary Detail'!L139,"")</f>
        <v/>
      </c>
      <c r="E240" s="53" t="str">
        <f>IF('Salary Detail'!P30="a",'Salary Detail'!L139,"")</f>
        <v/>
      </c>
      <c r="F240" s="53" t="str">
        <f>IF('Salary Detail'!P30="t",'Salary Detail'!L139,"")</f>
        <v/>
      </c>
      <c r="G240" s="53" t="str">
        <f>IF('Salary Detail'!P30="p",'Salary Detail'!L139,"")</f>
        <v/>
      </c>
      <c r="H240" s="53" t="str">
        <f>IF('Salary Detail'!P30="r",'Salary Detail'!L139,"")</f>
        <v/>
      </c>
      <c r="I240" s="53" t="str">
        <f>IF('Salary Detail'!P30="s",'Salary Detail'!L139,"")</f>
        <v/>
      </c>
      <c r="J240" s="53" t="str">
        <f>IF('Salary Detail'!P30="w",'Salary Detail'!L139,"")</f>
        <v/>
      </c>
      <c r="K240" s="53" t="str">
        <f>IF('Salary Detail'!P30="G",'Salary Detail'!L139,"")</f>
        <v/>
      </c>
      <c r="L240" s="53" t="str">
        <f>'Salary Detail'!M139</f>
        <v/>
      </c>
      <c r="M240" s="55">
        <f t="shared" si="12"/>
        <v>0</v>
      </c>
    </row>
    <row r="241" spans="1:13" x14ac:dyDescent="0.25">
      <c r="A241" s="157" t="str">
        <f>'Salary Detail'!A250</f>
        <v/>
      </c>
      <c r="B241" s="53" t="str">
        <f>IF('Salary Detail'!P31="f",'Salary Detail'!L140,"")</f>
        <v/>
      </c>
      <c r="C241" s="53" t="str">
        <f>IF('Salary Detail'!P31="o",'Salary Detail'!L140,"")</f>
        <v/>
      </c>
      <c r="D241" s="53" t="str">
        <f>IF('Salary Detail'!P31="l",'Salary Detail'!L140,"")</f>
        <v/>
      </c>
      <c r="E241" s="53" t="str">
        <f>IF('Salary Detail'!P31="a",'Salary Detail'!L140,"")</f>
        <v/>
      </c>
      <c r="F241" s="53" t="str">
        <f>IF('Salary Detail'!P31="t",'Salary Detail'!L140,"")</f>
        <v/>
      </c>
      <c r="G241" s="53" t="str">
        <f>IF('Salary Detail'!P31="p",'Salary Detail'!L140,"")</f>
        <v/>
      </c>
      <c r="H241" s="53" t="str">
        <f>IF('Salary Detail'!P31="r",'Salary Detail'!L140,"")</f>
        <v/>
      </c>
      <c r="I241" s="53" t="str">
        <f>IF('Salary Detail'!P31="s",'Salary Detail'!L140,"")</f>
        <v/>
      </c>
      <c r="J241" s="53" t="str">
        <f>IF('Salary Detail'!P31="w",'Salary Detail'!L140,"")</f>
        <v/>
      </c>
      <c r="K241" s="53" t="str">
        <f>IF('Salary Detail'!P31="G",'Salary Detail'!L140,"")</f>
        <v/>
      </c>
      <c r="L241" s="53" t="str">
        <f>'Salary Detail'!M140</f>
        <v/>
      </c>
      <c r="M241" s="55">
        <f t="shared" si="12"/>
        <v>0</v>
      </c>
    </row>
    <row r="242" spans="1:13" x14ac:dyDescent="0.25">
      <c r="A242" s="157" t="str">
        <f>'Salary Detail'!A251</f>
        <v/>
      </c>
      <c r="B242" s="53" t="str">
        <f>IF('Salary Detail'!P32="f",'Salary Detail'!L141,"")</f>
        <v/>
      </c>
      <c r="C242" s="53" t="str">
        <f>IF('Salary Detail'!P32="o",'Salary Detail'!L141,"")</f>
        <v/>
      </c>
      <c r="D242" s="53" t="str">
        <f>IF('Salary Detail'!P32="l",'Salary Detail'!L141,"")</f>
        <v/>
      </c>
      <c r="E242" s="53" t="str">
        <f>IF('Salary Detail'!P32="a",'Salary Detail'!L141,"")</f>
        <v/>
      </c>
      <c r="F242" s="53" t="str">
        <f>IF('Salary Detail'!P32="t",'Salary Detail'!L141,"")</f>
        <v/>
      </c>
      <c r="G242" s="53" t="str">
        <f>IF('Salary Detail'!P32="p",'Salary Detail'!L141,"")</f>
        <v/>
      </c>
      <c r="H242" s="53" t="str">
        <f>IF('Salary Detail'!P32="r",'Salary Detail'!L141,"")</f>
        <v/>
      </c>
      <c r="I242" s="53" t="str">
        <f>IF('Salary Detail'!P32="s",'Salary Detail'!L141,"")</f>
        <v/>
      </c>
      <c r="J242" s="53" t="str">
        <f>IF('Salary Detail'!P32="w",'Salary Detail'!L141,"")</f>
        <v/>
      </c>
      <c r="K242" s="53" t="str">
        <f>IF('Salary Detail'!P32="G",'Salary Detail'!L141,"")</f>
        <v/>
      </c>
      <c r="L242" s="53" t="str">
        <f>'Salary Detail'!M141</f>
        <v/>
      </c>
      <c r="M242" s="55">
        <f t="shared" si="12"/>
        <v>0</v>
      </c>
    </row>
    <row r="243" spans="1:13" x14ac:dyDescent="0.25">
      <c r="A243" s="157" t="str">
        <f>'Salary Detail'!A252</f>
        <v/>
      </c>
      <c r="B243" s="53" t="str">
        <f>IF('Salary Detail'!P33="f",'Salary Detail'!L142,"")</f>
        <v/>
      </c>
      <c r="C243" s="53" t="str">
        <f>IF('Salary Detail'!P33="o",'Salary Detail'!L142,"")</f>
        <v/>
      </c>
      <c r="D243" s="53" t="str">
        <f>IF('Salary Detail'!P33="l",'Salary Detail'!L142,"")</f>
        <v/>
      </c>
      <c r="E243" s="53" t="str">
        <f>IF('Salary Detail'!P33="a",'Salary Detail'!L142,"")</f>
        <v/>
      </c>
      <c r="F243" s="53" t="str">
        <f>IF('Salary Detail'!P33="t",'Salary Detail'!L142,"")</f>
        <v/>
      </c>
      <c r="G243" s="53" t="str">
        <f>IF('Salary Detail'!P33="p",'Salary Detail'!L142,"")</f>
        <v/>
      </c>
      <c r="H243" s="53" t="str">
        <f>IF('Salary Detail'!P33="r",'Salary Detail'!L142,"")</f>
        <v/>
      </c>
      <c r="I243" s="53" t="str">
        <f>IF('Salary Detail'!P33="s",'Salary Detail'!L142,"")</f>
        <v/>
      </c>
      <c r="J243" s="53" t="str">
        <f>IF('Salary Detail'!P33="w",'Salary Detail'!L142,"")</f>
        <v/>
      </c>
      <c r="K243" s="53" t="str">
        <f>IF('Salary Detail'!P33="G",'Salary Detail'!L142,"")</f>
        <v/>
      </c>
      <c r="L243" s="53" t="str">
        <f>'Salary Detail'!M142</f>
        <v/>
      </c>
      <c r="M243" s="55">
        <f t="shared" si="12"/>
        <v>0</v>
      </c>
    </row>
    <row r="244" spans="1:13" x14ac:dyDescent="0.25">
      <c r="A244" s="157" t="str">
        <f>'Salary Detail'!A253</f>
        <v/>
      </c>
      <c r="B244" s="53" t="str">
        <f>IF('Salary Detail'!P34="f",'Salary Detail'!L143,"")</f>
        <v/>
      </c>
      <c r="C244" s="53" t="str">
        <f>IF('Salary Detail'!P34="o",'Salary Detail'!L143,"")</f>
        <v/>
      </c>
      <c r="D244" s="53" t="str">
        <f>IF('Salary Detail'!P34="l",'Salary Detail'!L143,"")</f>
        <v/>
      </c>
      <c r="E244" s="53" t="str">
        <f>IF('Salary Detail'!P34="a",'Salary Detail'!L143,"")</f>
        <v/>
      </c>
      <c r="F244" s="53" t="str">
        <f>IF('Salary Detail'!P34="t",'Salary Detail'!L143,"")</f>
        <v/>
      </c>
      <c r="G244" s="53" t="str">
        <f>IF('Salary Detail'!P34="p",'Salary Detail'!L143,"")</f>
        <v/>
      </c>
      <c r="H244" s="53" t="str">
        <f>IF('Salary Detail'!P34="r",'Salary Detail'!L143,"")</f>
        <v/>
      </c>
      <c r="I244" s="53" t="str">
        <f>IF('Salary Detail'!P34="s",'Salary Detail'!L143,"")</f>
        <v/>
      </c>
      <c r="J244" s="53" t="str">
        <f>IF('Salary Detail'!P34="w",'Salary Detail'!L143,"")</f>
        <v/>
      </c>
      <c r="K244" s="53" t="str">
        <f>IF('Salary Detail'!P34="G",'Salary Detail'!L143,"")</f>
        <v/>
      </c>
      <c r="L244" s="53" t="str">
        <f>'Salary Detail'!M143</f>
        <v/>
      </c>
      <c r="M244" s="55">
        <f t="shared" si="12"/>
        <v>0</v>
      </c>
    </row>
    <row r="245" spans="1:13" x14ac:dyDescent="0.25">
      <c r="A245" s="157" t="str">
        <f>'Salary Detail'!A254</f>
        <v/>
      </c>
      <c r="B245" s="53" t="str">
        <f>IF('Salary Detail'!P35="f",'Salary Detail'!L144,"")</f>
        <v/>
      </c>
      <c r="C245" s="53" t="str">
        <f>IF('Salary Detail'!P35="o",'Salary Detail'!L144,"")</f>
        <v/>
      </c>
      <c r="D245" s="53" t="str">
        <f>IF('Salary Detail'!P35="l",'Salary Detail'!L144,"")</f>
        <v/>
      </c>
      <c r="E245" s="53" t="str">
        <f>IF('Salary Detail'!P35="a",'Salary Detail'!L144,"")</f>
        <v/>
      </c>
      <c r="F245" s="53" t="str">
        <f>IF('Salary Detail'!P35="t",'Salary Detail'!L144,"")</f>
        <v/>
      </c>
      <c r="G245" s="53" t="str">
        <f>IF('Salary Detail'!P35="p",'Salary Detail'!L144,"")</f>
        <v/>
      </c>
      <c r="H245" s="53" t="str">
        <f>IF('Salary Detail'!P35="r",'Salary Detail'!L144,"")</f>
        <v/>
      </c>
      <c r="I245" s="53" t="str">
        <f>IF('Salary Detail'!P35="s",'Salary Detail'!L144,"")</f>
        <v/>
      </c>
      <c r="J245" s="53" t="str">
        <f>IF('Salary Detail'!P35="w",'Salary Detail'!L144,"")</f>
        <v/>
      </c>
      <c r="K245" s="53" t="str">
        <f>IF('Salary Detail'!P35="G",'Salary Detail'!L144,"")</f>
        <v/>
      </c>
      <c r="L245" s="53" t="str">
        <f>'Salary Detail'!M144</f>
        <v/>
      </c>
      <c r="M245" s="55">
        <f t="shared" si="12"/>
        <v>0</v>
      </c>
    </row>
    <row r="246" spans="1:13" x14ac:dyDescent="0.25">
      <c r="A246" s="157" t="str">
        <f>'Salary Detail'!A255</f>
        <v/>
      </c>
      <c r="B246" s="53" t="str">
        <f>IF('Salary Detail'!P36="f",'Salary Detail'!L145,"")</f>
        <v/>
      </c>
      <c r="C246" s="53" t="str">
        <f>IF('Salary Detail'!P36="o",'Salary Detail'!L145,"")</f>
        <v/>
      </c>
      <c r="D246" s="53" t="str">
        <f>IF('Salary Detail'!P36="l",'Salary Detail'!L145,"")</f>
        <v/>
      </c>
      <c r="E246" s="53" t="str">
        <f>IF('Salary Detail'!P36="a",'Salary Detail'!L145,"")</f>
        <v/>
      </c>
      <c r="F246" s="53" t="str">
        <f>IF('Salary Detail'!P36="t",'Salary Detail'!L145,"")</f>
        <v/>
      </c>
      <c r="G246" s="53" t="str">
        <f>IF('Salary Detail'!P36="p",'Salary Detail'!L145,"")</f>
        <v/>
      </c>
      <c r="H246" s="53" t="str">
        <f>IF('Salary Detail'!P36="r",'Salary Detail'!L145,"")</f>
        <v/>
      </c>
      <c r="I246" s="53" t="str">
        <f>IF('Salary Detail'!P36="s",'Salary Detail'!L145,"")</f>
        <v/>
      </c>
      <c r="J246" s="53" t="str">
        <f>IF('Salary Detail'!P36="w",'Salary Detail'!L145,"")</f>
        <v/>
      </c>
      <c r="K246" s="53" t="str">
        <f>IF('Salary Detail'!P36="G",'Salary Detail'!L145,"")</f>
        <v/>
      </c>
      <c r="L246" s="53" t="str">
        <f>'Salary Detail'!M145</f>
        <v/>
      </c>
      <c r="M246" s="55">
        <f t="shared" si="12"/>
        <v>0</v>
      </c>
    </row>
    <row r="247" spans="1:13" x14ac:dyDescent="0.25">
      <c r="A247" s="157" t="str">
        <f>'Salary Detail'!A256</f>
        <v/>
      </c>
      <c r="B247" s="53" t="str">
        <f>IF('Salary Detail'!P37="f",'Salary Detail'!L146,"")</f>
        <v/>
      </c>
      <c r="C247" s="53" t="str">
        <f>IF('Salary Detail'!P37="o",'Salary Detail'!L146,"")</f>
        <v/>
      </c>
      <c r="D247" s="53" t="str">
        <f>IF('Salary Detail'!P37="l",'Salary Detail'!L146,"")</f>
        <v/>
      </c>
      <c r="E247" s="53" t="str">
        <f>IF('Salary Detail'!P37="a",'Salary Detail'!L146,"")</f>
        <v/>
      </c>
      <c r="F247" s="53" t="str">
        <f>IF('Salary Detail'!P37="t",'Salary Detail'!L146,"")</f>
        <v/>
      </c>
      <c r="G247" s="53" t="str">
        <f>IF('Salary Detail'!P37="p",'Salary Detail'!L146,"")</f>
        <v/>
      </c>
      <c r="H247" s="53" t="str">
        <f>IF('Salary Detail'!P37="r",'Salary Detail'!L146,"")</f>
        <v/>
      </c>
      <c r="I247" s="53" t="str">
        <f>IF('Salary Detail'!P37="s",'Salary Detail'!L146,"")</f>
        <v/>
      </c>
      <c r="J247" s="53" t="str">
        <f>IF('Salary Detail'!P37="w",'Salary Detail'!L146,"")</f>
        <v/>
      </c>
      <c r="K247" s="53" t="str">
        <f>IF('Salary Detail'!P37="G",'Salary Detail'!L146,"")</f>
        <v/>
      </c>
      <c r="L247" s="53" t="str">
        <f>'Salary Detail'!M146</f>
        <v/>
      </c>
      <c r="M247" s="55">
        <f t="shared" si="12"/>
        <v>0</v>
      </c>
    </row>
    <row r="248" spans="1:13" x14ac:dyDescent="0.25">
      <c r="A248" s="157" t="str">
        <f>'Salary Detail'!A257</f>
        <v/>
      </c>
      <c r="B248" s="53" t="str">
        <f>IF('Salary Detail'!P38="f",'Salary Detail'!L147,"")</f>
        <v/>
      </c>
      <c r="C248" s="53" t="str">
        <f>IF('Salary Detail'!P38="o",'Salary Detail'!L147,"")</f>
        <v/>
      </c>
      <c r="D248" s="53" t="str">
        <f>IF('Salary Detail'!P38="l",'Salary Detail'!L147,"")</f>
        <v/>
      </c>
      <c r="E248" s="53" t="str">
        <f>IF('Salary Detail'!P38="a",'Salary Detail'!L147,"")</f>
        <v/>
      </c>
      <c r="F248" s="53" t="str">
        <f>IF('Salary Detail'!P38="t",'Salary Detail'!L147,"")</f>
        <v/>
      </c>
      <c r="G248" s="53" t="str">
        <f>IF('Salary Detail'!P38="p",'Salary Detail'!L147,"")</f>
        <v/>
      </c>
      <c r="H248" s="53" t="str">
        <f>IF('Salary Detail'!P38="r",'Salary Detail'!L147,"")</f>
        <v/>
      </c>
      <c r="I248" s="53" t="str">
        <f>IF('Salary Detail'!P38="s",'Salary Detail'!L147,"")</f>
        <v/>
      </c>
      <c r="J248" s="53" t="str">
        <f>IF('Salary Detail'!P38="w",'Salary Detail'!L147,"")</f>
        <v/>
      </c>
      <c r="K248" s="53" t="str">
        <f>IF('Salary Detail'!P38="G",'Salary Detail'!L147,"")</f>
        <v/>
      </c>
      <c r="L248" s="53" t="str">
        <f>'Salary Detail'!M147</f>
        <v/>
      </c>
      <c r="M248" s="55">
        <f t="shared" si="12"/>
        <v>0</v>
      </c>
    </row>
    <row r="249" spans="1:13" x14ac:dyDescent="0.25">
      <c r="A249" s="157" t="str">
        <f>'Salary Detail'!A258</f>
        <v/>
      </c>
      <c r="B249" s="53" t="str">
        <f>IF('Salary Detail'!P39="f",'Salary Detail'!L148,"")</f>
        <v/>
      </c>
      <c r="C249" s="53" t="str">
        <f>IF('Salary Detail'!P39="o",'Salary Detail'!L148,"")</f>
        <v/>
      </c>
      <c r="D249" s="53" t="str">
        <f>IF('Salary Detail'!P39="l",'Salary Detail'!L148,"")</f>
        <v/>
      </c>
      <c r="E249" s="53" t="str">
        <f>IF('Salary Detail'!P39="a",'Salary Detail'!L148,"")</f>
        <v/>
      </c>
      <c r="F249" s="53" t="str">
        <f>IF('Salary Detail'!P39="t",'Salary Detail'!L148,"")</f>
        <v/>
      </c>
      <c r="G249" s="53" t="str">
        <f>IF('Salary Detail'!P39="p",'Salary Detail'!L148,"")</f>
        <v/>
      </c>
      <c r="H249" s="53" t="str">
        <f>IF('Salary Detail'!P39="r",'Salary Detail'!L148,"")</f>
        <v/>
      </c>
      <c r="I249" s="53" t="str">
        <f>IF('Salary Detail'!P39="s",'Salary Detail'!L148,"")</f>
        <v/>
      </c>
      <c r="J249" s="53" t="str">
        <f>IF('Salary Detail'!P39="w",'Salary Detail'!L148,"")</f>
        <v/>
      </c>
      <c r="K249" s="53" t="str">
        <f>IF('Salary Detail'!P39="G",'Salary Detail'!L148,"")</f>
        <v/>
      </c>
      <c r="L249" s="53" t="str">
        <f>'Salary Detail'!M148</f>
        <v/>
      </c>
      <c r="M249" s="55">
        <f t="shared" si="12"/>
        <v>0</v>
      </c>
    </row>
    <row r="250" spans="1:13" x14ac:dyDescent="0.25">
      <c r="A250" s="157" t="str">
        <f>'Salary Detail'!A259</f>
        <v/>
      </c>
      <c r="B250" s="53" t="str">
        <f>IF('Salary Detail'!P40="f",'Salary Detail'!L149,"")</f>
        <v/>
      </c>
      <c r="C250" s="53" t="str">
        <f>IF('Salary Detail'!P40="o",'Salary Detail'!L149,"")</f>
        <v/>
      </c>
      <c r="D250" s="53" t="str">
        <f>IF('Salary Detail'!P40="l",'Salary Detail'!L149,"")</f>
        <v/>
      </c>
      <c r="E250" s="53" t="str">
        <f>IF('Salary Detail'!P40="a",'Salary Detail'!L149,"")</f>
        <v/>
      </c>
      <c r="F250" s="53" t="str">
        <f>IF('Salary Detail'!P40="t",'Salary Detail'!L149,"")</f>
        <v/>
      </c>
      <c r="G250" s="53" t="str">
        <f>IF('Salary Detail'!P40="p",'Salary Detail'!L149,"")</f>
        <v/>
      </c>
      <c r="H250" s="53" t="str">
        <f>IF('Salary Detail'!P40="r",'Salary Detail'!L149,"")</f>
        <v/>
      </c>
      <c r="I250" s="53" t="str">
        <f>IF('Salary Detail'!P40="s",'Salary Detail'!L149,"")</f>
        <v/>
      </c>
      <c r="J250" s="53" t="str">
        <f>IF('Salary Detail'!P40="w",'Salary Detail'!L149,"")</f>
        <v/>
      </c>
      <c r="K250" s="53" t="str">
        <f>IF('Salary Detail'!P40="G",'Salary Detail'!L149,"")</f>
        <v/>
      </c>
      <c r="L250" s="53" t="str">
        <f>'Salary Detail'!M149</f>
        <v/>
      </c>
      <c r="M250" s="55">
        <f t="shared" si="12"/>
        <v>0</v>
      </c>
    </row>
    <row r="251" spans="1:13" x14ac:dyDescent="0.25">
      <c r="A251" s="157" t="str">
        <f>'Salary Detail'!A260</f>
        <v/>
      </c>
      <c r="B251" s="53" t="str">
        <f>IF('Salary Detail'!P41="f",'Salary Detail'!L150,"")</f>
        <v/>
      </c>
      <c r="C251" s="53" t="str">
        <f>IF('Salary Detail'!P41="o",'Salary Detail'!L150,"")</f>
        <v/>
      </c>
      <c r="D251" s="53" t="str">
        <f>IF('Salary Detail'!P41="l",'Salary Detail'!L150,"")</f>
        <v/>
      </c>
      <c r="E251" s="53" t="str">
        <f>IF('Salary Detail'!P41="a",'Salary Detail'!L150,"")</f>
        <v/>
      </c>
      <c r="F251" s="53" t="str">
        <f>IF('Salary Detail'!P41="t",'Salary Detail'!L150,"")</f>
        <v/>
      </c>
      <c r="G251" s="53" t="str">
        <f>IF('Salary Detail'!P41="p",'Salary Detail'!L150,"")</f>
        <v/>
      </c>
      <c r="H251" s="53" t="str">
        <f>IF('Salary Detail'!P41="r",'Salary Detail'!L150,"")</f>
        <v/>
      </c>
      <c r="I251" s="53" t="str">
        <f>IF('Salary Detail'!P41="s",'Salary Detail'!L150,"")</f>
        <v/>
      </c>
      <c r="J251" s="53" t="str">
        <f>IF('Salary Detail'!P41="w",'Salary Detail'!L150,"")</f>
        <v/>
      </c>
      <c r="K251" s="53" t="str">
        <f>IF('Salary Detail'!P41="G",'Salary Detail'!L150,"")</f>
        <v/>
      </c>
      <c r="L251" s="53" t="str">
        <f>'Salary Detail'!M150</f>
        <v/>
      </c>
      <c r="M251" s="55">
        <f t="shared" si="12"/>
        <v>0</v>
      </c>
    </row>
    <row r="252" spans="1:13" x14ac:dyDescent="0.25">
      <c r="A252" s="157" t="str">
        <f>'Salary Detail'!A261</f>
        <v/>
      </c>
      <c r="B252" s="53" t="str">
        <f>IF('Salary Detail'!P42="f",'Salary Detail'!L151,"")</f>
        <v/>
      </c>
      <c r="C252" s="53" t="str">
        <f>IF('Salary Detail'!P42="o",'Salary Detail'!L151,"")</f>
        <v/>
      </c>
      <c r="D252" s="53" t="str">
        <f>IF('Salary Detail'!P42="l",'Salary Detail'!L151,"")</f>
        <v/>
      </c>
      <c r="E252" s="53" t="str">
        <f>IF('Salary Detail'!P42="a",'Salary Detail'!L151,"")</f>
        <v/>
      </c>
      <c r="F252" s="53" t="str">
        <f>IF('Salary Detail'!P42="t",'Salary Detail'!L151,"")</f>
        <v/>
      </c>
      <c r="G252" s="53" t="str">
        <f>IF('Salary Detail'!P42="p",'Salary Detail'!L151,"")</f>
        <v/>
      </c>
      <c r="H252" s="53" t="str">
        <f>IF('Salary Detail'!P42="r",'Salary Detail'!L151,"")</f>
        <v/>
      </c>
      <c r="I252" s="53" t="str">
        <f>IF('Salary Detail'!P42="s",'Salary Detail'!L151,"")</f>
        <v/>
      </c>
      <c r="J252" s="53" t="str">
        <f>IF('Salary Detail'!P42="w",'Salary Detail'!L151,"")</f>
        <v/>
      </c>
      <c r="K252" s="53" t="str">
        <f>IF('Salary Detail'!P42="G",'Salary Detail'!L151,"")</f>
        <v/>
      </c>
      <c r="L252" s="53" t="str">
        <f>'Salary Detail'!M151</f>
        <v/>
      </c>
      <c r="M252" s="55">
        <f t="shared" si="12"/>
        <v>0</v>
      </c>
    </row>
    <row r="253" spans="1:13" x14ac:dyDescent="0.25">
      <c r="A253" s="157" t="str">
        <f>'Salary Detail'!A262</f>
        <v/>
      </c>
      <c r="B253" s="53" t="str">
        <f>IF('Salary Detail'!P43="f",'Salary Detail'!L152,"")</f>
        <v/>
      </c>
      <c r="C253" s="53" t="str">
        <f>IF('Salary Detail'!P43="o",'Salary Detail'!L152,"")</f>
        <v/>
      </c>
      <c r="D253" s="53" t="str">
        <f>IF('Salary Detail'!P43="l",'Salary Detail'!L152,"")</f>
        <v/>
      </c>
      <c r="E253" s="53" t="str">
        <f>IF('Salary Detail'!P43="a",'Salary Detail'!L152,"")</f>
        <v/>
      </c>
      <c r="F253" s="53" t="str">
        <f>IF('Salary Detail'!P43="t",'Salary Detail'!L152,"")</f>
        <v/>
      </c>
      <c r="G253" s="53" t="str">
        <f>IF('Salary Detail'!P43="p",'Salary Detail'!L152,"")</f>
        <v/>
      </c>
      <c r="H253" s="53" t="str">
        <f>IF('Salary Detail'!P43="r",'Salary Detail'!L152,"")</f>
        <v/>
      </c>
      <c r="I253" s="53" t="str">
        <f>IF('Salary Detail'!P43="s",'Salary Detail'!L152,"")</f>
        <v/>
      </c>
      <c r="J253" s="53" t="str">
        <f>IF('Salary Detail'!P43="w",'Salary Detail'!L152,"")</f>
        <v/>
      </c>
      <c r="K253" s="53" t="str">
        <f>IF('Salary Detail'!P43="G",'Salary Detail'!L152,"")</f>
        <v/>
      </c>
      <c r="L253" s="53" t="str">
        <f>'Salary Detail'!M152</f>
        <v/>
      </c>
      <c r="M253" s="55">
        <f t="shared" si="12"/>
        <v>0</v>
      </c>
    </row>
    <row r="254" spans="1:13" x14ac:dyDescent="0.25">
      <c r="A254" s="157" t="str">
        <f>'Salary Detail'!A263</f>
        <v/>
      </c>
      <c r="B254" s="53" t="str">
        <f>IF('Salary Detail'!P44="f",'Salary Detail'!L153,"")</f>
        <v/>
      </c>
      <c r="C254" s="53" t="str">
        <f>IF('Salary Detail'!P44="o",'Salary Detail'!L153,"")</f>
        <v/>
      </c>
      <c r="D254" s="53" t="str">
        <f>IF('Salary Detail'!P44="l",'Salary Detail'!L153,"")</f>
        <v/>
      </c>
      <c r="E254" s="53" t="str">
        <f>IF('Salary Detail'!P44="a",'Salary Detail'!L153,"")</f>
        <v/>
      </c>
      <c r="F254" s="53" t="str">
        <f>IF('Salary Detail'!P44="t",'Salary Detail'!L153,"")</f>
        <v/>
      </c>
      <c r="G254" s="53" t="str">
        <f>IF('Salary Detail'!P44="p",'Salary Detail'!L153,"")</f>
        <v/>
      </c>
      <c r="H254" s="53" t="str">
        <f>IF('Salary Detail'!P44="r",'Salary Detail'!L153,"")</f>
        <v/>
      </c>
      <c r="I254" s="53" t="str">
        <f>IF('Salary Detail'!P44="s",'Salary Detail'!L153,"")</f>
        <v/>
      </c>
      <c r="J254" s="53" t="str">
        <f>IF('Salary Detail'!P44="w",'Salary Detail'!L153,"")</f>
        <v/>
      </c>
      <c r="K254" s="53" t="str">
        <f>IF('Salary Detail'!P44="G",'Salary Detail'!L153,"")</f>
        <v/>
      </c>
      <c r="L254" s="53" t="str">
        <f>'Salary Detail'!M153</f>
        <v/>
      </c>
      <c r="M254" s="55">
        <f t="shared" si="12"/>
        <v>0</v>
      </c>
    </row>
    <row r="255" spans="1:13" x14ac:dyDescent="0.25">
      <c r="A255" s="157" t="str">
        <f>'Salary Detail'!A264</f>
        <v/>
      </c>
      <c r="B255" s="53" t="str">
        <f>IF('Salary Detail'!P45="f",'Salary Detail'!L154,"")</f>
        <v/>
      </c>
      <c r="C255" s="53" t="str">
        <f>IF('Salary Detail'!P45="o",'Salary Detail'!L154,"")</f>
        <v/>
      </c>
      <c r="D255" s="53" t="str">
        <f>IF('Salary Detail'!P45="l",'Salary Detail'!L154,"")</f>
        <v/>
      </c>
      <c r="E255" s="53" t="str">
        <f>IF('Salary Detail'!P45="a",'Salary Detail'!L154,"")</f>
        <v/>
      </c>
      <c r="F255" s="53" t="str">
        <f>IF('Salary Detail'!P45="t",'Salary Detail'!L154,"")</f>
        <v/>
      </c>
      <c r="G255" s="53" t="str">
        <f>IF('Salary Detail'!P45="p",'Salary Detail'!L154,"")</f>
        <v/>
      </c>
      <c r="H255" s="53" t="str">
        <f>IF('Salary Detail'!P45="r",'Salary Detail'!L154,"")</f>
        <v/>
      </c>
      <c r="I255" s="53" t="str">
        <f>IF('Salary Detail'!P45="s",'Salary Detail'!L154,"")</f>
        <v/>
      </c>
      <c r="J255" s="53" t="str">
        <f>IF('Salary Detail'!P45="w",'Salary Detail'!L154,"")</f>
        <v/>
      </c>
      <c r="K255" s="53" t="str">
        <f>IF('Salary Detail'!P45="G",'Salary Detail'!L154,"")</f>
        <v/>
      </c>
      <c r="L255" s="53" t="str">
        <f>'Salary Detail'!M154</f>
        <v/>
      </c>
      <c r="M255" s="55">
        <f t="shared" si="12"/>
        <v>0</v>
      </c>
    </row>
    <row r="256" spans="1:13" x14ac:dyDescent="0.25">
      <c r="A256" s="157" t="str">
        <f>'Salary Detail'!A265</f>
        <v/>
      </c>
      <c r="B256" s="53" t="str">
        <f>IF('Salary Detail'!P46="f",'Salary Detail'!L155,"")</f>
        <v/>
      </c>
      <c r="C256" s="53" t="str">
        <f>IF('Salary Detail'!P46="o",'Salary Detail'!L155,"")</f>
        <v/>
      </c>
      <c r="D256" s="53" t="str">
        <f>IF('Salary Detail'!P46="l",'Salary Detail'!L155,"")</f>
        <v/>
      </c>
      <c r="E256" s="53" t="str">
        <f>IF('Salary Detail'!P46="a",'Salary Detail'!L155,"")</f>
        <v/>
      </c>
      <c r="F256" s="53" t="str">
        <f>IF('Salary Detail'!P46="t",'Salary Detail'!L155,"")</f>
        <v/>
      </c>
      <c r="G256" s="53" t="str">
        <f>IF('Salary Detail'!P46="p",'Salary Detail'!L155,"")</f>
        <v/>
      </c>
      <c r="H256" s="53" t="str">
        <f>IF('Salary Detail'!P46="r",'Salary Detail'!L155,"")</f>
        <v/>
      </c>
      <c r="I256" s="53" t="str">
        <f>IF('Salary Detail'!P46="s",'Salary Detail'!L155,"")</f>
        <v/>
      </c>
      <c r="J256" s="53" t="str">
        <f>IF('Salary Detail'!P46="w",'Salary Detail'!L155,"")</f>
        <v/>
      </c>
      <c r="K256" s="53" t="str">
        <f>IF('Salary Detail'!P46="G",'Salary Detail'!L155,"")</f>
        <v/>
      </c>
      <c r="L256" s="53" t="str">
        <f>'Salary Detail'!M155</f>
        <v/>
      </c>
      <c r="M256" s="55">
        <f t="shared" si="12"/>
        <v>0</v>
      </c>
    </row>
    <row r="257" spans="1:13" x14ac:dyDescent="0.25">
      <c r="A257" s="157" t="str">
        <f>'Salary Detail'!A266</f>
        <v/>
      </c>
      <c r="B257" s="53" t="str">
        <f>IF('Salary Detail'!P47="f",'Salary Detail'!L156,"")</f>
        <v/>
      </c>
      <c r="C257" s="53" t="str">
        <f>IF('Salary Detail'!P47="o",'Salary Detail'!L156,"")</f>
        <v/>
      </c>
      <c r="D257" s="53" t="str">
        <f>IF('Salary Detail'!P47="l",'Salary Detail'!L156,"")</f>
        <v/>
      </c>
      <c r="E257" s="53" t="str">
        <f>IF('Salary Detail'!P47="a",'Salary Detail'!L156,"")</f>
        <v/>
      </c>
      <c r="F257" s="53" t="str">
        <f>IF('Salary Detail'!P47="t",'Salary Detail'!L156,"")</f>
        <v/>
      </c>
      <c r="G257" s="53" t="str">
        <f>IF('Salary Detail'!P47="p",'Salary Detail'!L156,"")</f>
        <v/>
      </c>
      <c r="H257" s="53" t="str">
        <f>IF('Salary Detail'!P47="r",'Salary Detail'!L156,"")</f>
        <v/>
      </c>
      <c r="I257" s="53" t="str">
        <f>IF('Salary Detail'!P47="s",'Salary Detail'!L156,"")</f>
        <v/>
      </c>
      <c r="J257" s="53" t="str">
        <f>IF('Salary Detail'!P47="w",'Salary Detail'!L156,"")</f>
        <v/>
      </c>
      <c r="K257" s="53" t="str">
        <f>IF('Salary Detail'!P47="G",'Salary Detail'!L156,"")</f>
        <v/>
      </c>
      <c r="L257" s="53" t="str">
        <f>'Salary Detail'!M156</f>
        <v/>
      </c>
      <c r="M257" s="55">
        <f t="shared" si="12"/>
        <v>0</v>
      </c>
    </row>
    <row r="258" spans="1:13" x14ac:dyDescent="0.25">
      <c r="A258" s="157" t="str">
        <f>'Salary Detail'!A267</f>
        <v/>
      </c>
      <c r="B258" s="53" t="str">
        <f>IF('Salary Detail'!P48="f",'Salary Detail'!L157,"")</f>
        <v/>
      </c>
      <c r="C258" s="53" t="str">
        <f>IF('Salary Detail'!P48="o",'Salary Detail'!L157,"")</f>
        <v/>
      </c>
      <c r="D258" s="53" t="str">
        <f>IF('Salary Detail'!P48="l",'Salary Detail'!L157,"")</f>
        <v/>
      </c>
      <c r="E258" s="53" t="str">
        <f>IF('Salary Detail'!P48="a",'Salary Detail'!L157,"")</f>
        <v/>
      </c>
      <c r="F258" s="53" t="str">
        <f>IF('Salary Detail'!P48="t",'Salary Detail'!L157,"")</f>
        <v/>
      </c>
      <c r="G258" s="53" t="str">
        <f>IF('Salary Detail'!P48="p",'Salary Detail'!L157,"")</f>
        <v/>
      </c>
      <c r="H258" s="53" t="str">
        <f>IF('Salary Detail'!P48="r",'Salary Detail'!L157,"")</f>
        <v/>
      </c>
      <c r="I258" s="53" t="str">
        <f>IF('Salary Detail'!P48="s",'Salary Detail'!L157,"")</f>
        <v/>
      </c>
      <c r="J258" s="53" t="str">
        <f>IF('Salary Detail'!P48="w",'Salary Detail'!L157,"")</f>
        <v/>
      </c>
      <c r="K258" s="53" t="str">
        <f>IF('Salary Detail'!P48="G",'Salary Detail'!L157,"")</f>
        <v/>
      </c>
      <c r="L258" s="53" t="str">
        <f>'Salary Detail'!M157</f>
        <v/>
      </c>
      <c r="M258" s="55">
        <f t="shared" si="12"/>
        <v>0</v>
      </c>
    </row>
    <row r="259" spans="1:13" x14ac:dyDescent="0.25">
      <c r="A259" s="157" t="str">
        <f>'Salary Detail'!A268</f>
        <v/>
      </c>
      <c r="B259" s="53" t="str">
        <f>IF('Salary Detail'!P49="f",'Salary Detail'!L158,"")</f>
        <v/>
      </c>
      <c r="C259" s="53" t="str">
        <f>IF('Salary Detail'!P49="o",'Salary Detail'!L158,"")</f>
        <v/>
      </c>
      <c r="D259" s="53" t="str">
        <f>IF('Salary Detail'!P49="l",'Salary Detail'!L158,"")</f>
        <v/>
      </c>
      <c r="E259" s="53" t="str">
        <f>IF('Salary Detail'!P49="a",'Salary Detail'!L158,"")</f>
        <v/>
      </c>
      <c r="F259" s="53" t="str">
        <f>IF('Salary Detail'!P49="t",'Salary Detail'!L158,"")</f>
        <v/>
      </c>
      <c r="G259" s="53" t="str">
        <f>IF('Salary Detail'!P49="p",'Salary Detail'!L158,"")</f>
        <v/>
      </c>
      <c r="H259" s="53" t="str">
        <f>IF('Salary Detail'!P49="r",'Salary Detail'!L158,"")</f>
        <v/>
      </c>
      <c r="I259" s="53" t="str">
        <f>IF('Salary Detail'!P49="s",'Salary Detail'!L158,"")</f>
        <v/>
      </c>
      <c r="J259" s="53" t="str">
        <f>IF('Salary Detail'!P49="w",'Salary Detail'!L158,"")</f>
        <v/>
      </c>
      <c r="K259" s="53" t="str">
        <f>IF('Salary Detail'!P49="G",'Salary Detail'!L158,"")</f>
        <v/>
      </c>
      <c r="L259" s="53" t="str">
        <f>'Salary Detail'!M158</f>
        <v/>
      </c>
      <c r="M259" s="55">
        <f t="shared" si="12"/>
        <v>0</v>
      </c>
    </row>
    <row r="260" spans="1:13" x14ac:dyDescent="0.25">
      <c r="A260" s="157" t="str">
        <f>'Salary Detail'!A269</f>
        <v/>
      </c>
      <c r="B260" s="53" t="str">
        <f>IF('Salary Detail'!P50="f",'Salary Detail'!L159,"")</f>
        <v/>
      </c>
      <c r="C260" s="53" t="str">
        <f>IF('Salary Detail'!P50="o",'Salary Detail'!L159,"")</f>
        <v/>
      </c>
      <c r="D260" s="53" t="str">
        <f>IF('Salary Detail'!P50="l",'Salary Detail'!L159,"")</f>
        <v/>
      </c>
      <c r="E260" s="53" t="str">
        <f>IF('Salary Detail'!P50="a",'Salary Detail'!L159,"")</f>
        <v/>
      </c>
      <c r="F260" s="53" t="str">
        <f>IF('Salary Detail'!P50="t",'Salary Detail'!L159,"")</f>
        <v/>
      </c>
      <c r="G260" s="53" t="str">
        <f>IF('Salary Detail'!P50="p",'Salary Detail'!L159,"")</f>
        <v/>
      </c>
      <c r="H260" s="53" t="str">
        <f>IF('Salary Detail'!P50="r",'Salary Detail'!L159,"")</f>
        <v/>
      </c>
      <c r="I260" s="53" t="str">
        <f>IF('Salary Detail'!P50="s",'Salary Detail'!L159,"")</f>
        <v/>
      </c>
      <c r="J260" s="53" t="str">
        <f>IF('Salary Detail'!P50="w",'Salary Detail'!L159,"")</f>
        <v/>
      </c>
      <c r="K260" s="53" t="str">
        <f>IF('Salary Detail'!P50="G",'Salary Detail'!L159,"")</f>
        <v/>
      </c>
      <c r="L260" s="53" t="str">
        <f>'Salary Detail'!M159</f>
        <v/>
      </c>
      <c r="M260" s="55">
        <f t="shared" si="12"/>
        <v>0</v>
      </c>
    </row>
    <row r="261" spans="1:13" x14ac:dyDescent="0.25">
      <c r="A261" s="157" t="str">
        <f>'Salary Detail'!A270</f>
        <v/>
      </c>
      <c r="B261" s="53" t="str">
        <f>IF('Salary Detail'!P51="f",'Salary Detail'!L160,"")</f>
        <v/>
      </c>
      <c r="C261" s="53" t="str">
        <f>IF('Salary Detail'!P51="o",'Salary Detail'!L160,"")</f>
        <v/>
      </c>
      <c r="D261" s="53" t="str">
        <f>IF('Salary Detail'!P51="l",'Salary Detail'!L160,"")</f>
        <v/>
      </c>
      <c r="E261" s="53" t="str">
        <f>IF('Salary Detail'!P51="a",'Salary Detail'!L160,"")</f>
        <v/>
      </c>
      <c r="F261" s="53" t="str">
        <f>IF('Salary Detail'!P51="t",'Salary Detail'!L160,"")</f>
        <v/>
      </c>
      <c r="G261" s="53" t="str">
        <f>IF('Salary Detail'!P51="p",'Salary Detail'!L160,"")</f>
        <v/>
      </c>
      <c r="H261" s="53" t="str">
        <f>IF('Salary Detail'!P51="r",'Salary Detail'!L160,"")</f>
        <v/>
      </c>
      <c r="I261" s="53" t="str">
        <f>IF('Salary Detail'!P51="s",'Salary Detail'!L160,"")</f>
        <v/>
      </c>
      <c r="J261" s="53" t="str">
        <f>IF('Salary Detail'!P51="w",'Salary Detail'!L160,"")</f>
        <v/>
      </c>
      <c r="K261" s="53" t="str">
        <f>IF('Salary Detail'!P51="G",'Salary Detail'!L160,"")</f>
        <v/>
      </c>
      <c r="L261" s="53" t="str">
        <f>'Salary Detail'!M160</f>
        <v/>
      </c>
      <c r="M261" s="55">
        <f t="shared" si="12"/>
        <v>0</v>
      </c>
    </row>
    <row r="262" spans="1:13" x14ac:dyDescent="0.25">
      <c r="A262" s="157" t="str">
        <f>'Salary Detail'!A271</f>
        <v/>
      </c>
      <c r="B262" s="53" t="str">
        <f>IF('Salary Detail'!P52="f",'Salary Detail'!L161,"")</f>
        <v/>
      </c>
      <c r="C262" s="53" t="str">
        <f>IF('Salary Detail'!P52="o",'Salary Detail'!L161,"")</f>
        <v/>
      </c>
      <c r="D262" s="53" t="str">
        <f>IF('Salary Detail'!P52="l",'Salary Detail'!L161,"")</f>
        <v/>
      </c>
      <c r="E262" s="53" t="str">
        <f>IF('Salary Detail'!P52="a",'Salary Detail'!L161,"")</f>
        <v/>
      </c>
      <c r="F262" s="53" t="str">
        <f>IF('Salary Detail'!P52="t",'Salary Detail'!L161,"")</f>
        <v/>
      </c>
      <c r="G262" s="53" t="str">
        <f>IF('Salary Detail'!P52="p",'Salary Detail'!L161,"")</f>
        <v/>
      </c>
      <c r="H262" s="53" t="str">
        <f>IF('Salary Detail'!P52="r",'Salary Detail'!L161,"")</f>
        <v/>
      </c>
      <c r="I262" s="53" t="str">
        <f>IF('Salary Detail'!P52="s",'Salary Detail'!L161,"")</f>
        <v/>
      </c>
      <c r="J262" s="53" t="str">
        <f>IF('Salary Detail'!P52="w",'Salary Detail'!L161,"")</f>
        <v/>
      </c>
      <c r="K262" s="53" t="str">
        <f>IF('Salary Detail'!P52="G",'Salary Detail'!L161,"")</f>
        <v/>
      </c>
      <c r="L262" s="53" t="str">
        <f>'Salary Detail'!M161</f>
        <v/>
      </c>
      <c r="M262" s="55">
        <f t="shared" si="12"/>
        <v>0</v>
      </c>
    </row>
    <row r="263" spans="1:13" x14ac:dyDescent="0.25">
      <c r="A263" s="157" t="str">
        <f>'Salary Detail'!A272</f>
        <v/>
      </c>
      <c r="B263" s="53" t="str">
        <f>IF('Salary Detail'!P53="f",'Salary Detail'!L162,"")</f>
        <v/>
      </c>
      <c r="C263" s="53" t="str">
        <f>IF('Salary Detail'!P53="o",'Salary Detail'!L162,"")</f>
        <v/>
      </c>
      <c r="D263" s="53" t="str">
        <f>IF('Salary Detail'!P53="l",'Salary Detail'!L162,"")</f>
        <v/>
      </c>
      <c r="E263" s="53" t="str">
        <f>IF('Salary Detail'!P53="a",'Salary Detail'!L162,"")</f>
        <v/>
      </c>
      <c r="F263" s="53" t="str">
        <f>IF('Salary Detail'!P53="t",'Salary Detail'!L162,"")</f>
        <v/>
      </c>
      <c r="G263" s="53" t="str">
        <f>IF('Salary Detail'!P53="p",'Salary Detail'!L162,"")</f>
        <v/>
      </c>
      <c r="H263" s="53" t="str">
        <f>IF('Salary Detail'!P53="r",'Salary Detail'!L162,"")</f>
        <v/>
      </c>
      <c r="I263" s="53" t="str">
        <f>IF('Salary Detail'!P53="s",'Salary Detail'!L162,"")</f>
        <v/>
      </c>
      <c r="J263" s="53" t="str">
        <f>IF('Salary Detail'!P53="w",'Salary Detail'!L162,"")</f>
        <v/>
      </c>
      <c r="K263" s="53" t="str">
        <f>IF('Salary Detail'!P53="G",'Salary Detail'!L162,"")</f>
        <v/>
      </c>
      <c r="L263" s="53" t="str">
        <f>'Salary Detail'!M162</f>
        <v/>
      </c>
      <c r="M263" s="55">
        <f t="shared" si="12"/>
        <v>0</v>
      </c>
    </row>
    <row r="264" spans="1:13" x14ac:dyDescent="0.25">
      <c r="A264" s="157" t="str">
        <f>'Salary Detail'!A273</f>
        <v/>
      </c>
      <c r="B264" s="53" t="str">
        <f>IF('Salary Detail'!P54="f",'Salary Detail'!L163,"")</f>
        <v/>
      </c>
      <c r="C264" s="53" t="str">
        <f>IF('Salary Detail'!P54="o",'Salary Detail'!L163,"")</f>
        <v/>
      </c>
      <c r="D264" s="53" t="str">
        <f>IF('Salary Detail'!P54="l",'Salary Detail'!L163,"")</f>
        <v/>
      </c>
      <c r="E264" s="53" t="str">
        <f>IF('Salary Detail'!P54="a",'Salary Detail'!L163,"")</f>
        <v/>
      </c>
      <c r="F264" s="53" t="str">
        <f>IF('Salary Detail'!P54="t",'Salary Detail'!L163,"")</f>
        <v/>
      </c>
      <c r="G264" s="53" t="str">
        <f>IF('Salary Detail'!P54="p",'Salary Detail'!L163,"")</f>
        <v/>
      </c>
      <c r="H264" s="53" t="str">
        <f>IF('Salary Detail'!P54="r",'Salary Detail'!L163,"")</f>
        <v/>
      </c>
      <c r="I264" s="53" t="str">
        <f>IF('Salary Detail'!P54="s",'Salary Detail'!L163,"")</f>
        <v/>
      </c>
      <c r="J264" s="53" t="str">
        <f>IF('Salary Detail'!P54="w",'Salary Detail'!L163,"")</f>
        <v/>
      </c>
      <c r="K264" s="53" t="str">
        <f>IF('Salary Detail'!P54="G",'Salary Detail'!L163,"")</f>
        <v/>
      </c>
      <c r="L264" s="53" t="str">
        <f>'Salary Detail'!M163</f>
        <v/>
      </c>
      <c r="M264" s="55">
        <f t="shared" si="12"/>
        <v>0</v>
      </c>
    </row>
    <row r="265" spans="1:13" x14ac:dyDescent="0.25">
      <c r="A265" s="157" t="str">
        <f>'Salary Detail'!A274</f>
        <v/>
      </c>
      <c r="B265" s="53" t="str">
        <f>IF('Salary Detail'!P55="f",'Salary Detail'!L164,"")</f>
        <v/>
      </c>
      <c r="C265" s="53" t="str">
        <f>IF('Salary Detail'!P55="o",'Salary Detail'!L164,"")</f>
        <v/>
      </c>
      <c r="D265" s="53" t="str">
        <f>IF('Salary Detail'!P55="l",'Salary Detail'!L164,"")</f>
        <v/>
      </c>
      <c r="E265" s="53" t="str">
        <f>IF('Salary Detail'!P55="a",'Salary Detail'!L164,"")</f>
        <v/>
      </c>
      <c r="F265" s="53" t="str">
        <f>IF('Salary Detail'!P55="t",'Salary Detail'!L164,"")</f>
        <v/>
      </c>
      <c r="G265" s="53" t="str">
        <f>IF('Salary Detail'!P55="p",'Salary Detail'!L164,"")</f>
        <v/>
      </c>
      <c r="H265" s="53" t="str">
        <f>IF('Salary Detail'!P55="r",'Salary Detail'!L164,"")</f>
        <v/>
      </c>
      <c r="I265" s="53" t="str">
        <f>IF('Salary Detail'!P55="s",'Salary Detail'!L164,"")</f>
        <v/>
      </c>
      <c r="J265" s="53" t="str">
        <f>IF('Salary Detail'!P55="w",'Salary Detail'!L164,"")</f>
        <v/>
      </c>
      <c r="K265" s="53" t="str">
        <f>IF('Salary Detail'!P55="G",'Salary Detail'!L164,"")</f>
        <v/>
      </c>
      <c r="L265" s="53" t="str">
        <f>'Salary Detail'!M164</f>
        <v/>
      </c>
      <c r="M265" s="55">
        <f t="shared" si="12"/>
        <v>0</v>
      </c>
    </row>
    <row r="266" spans="1:13" x14ac:dyDescent="0.25">
      <c r="A266" s="157" t="str">
        <f>'Salary Detail'!A275</f>
        <v/>
      </c>
      <c r="B266" s="53" t="str">
        <f>IF('Salary Detail'!P56="f",'Salary Detail'!L165,"")</f>
        <v/>
      </c>
      <c r="C266" s="53" t="str">
        <f>IF('Salary Detail'!P56="o",'Salary Detail'!L165,"")</f>
        <v/>
      </c>
      <c r="D266" s="53" t="str">
        <f>IF('Salary Detail'!P56="l",'Salary Detail'!L165,"")</f>
        <v/>
      </c>
      <c r="E266" s="53" t="str">
        <f>IF('Salary Detail'!P56="a",'Salary Detail'!L165,"")</f>
        <v/>
      </c>
      <c r="F266" s="53" t="str">
        <f>IF('Salary Detail'!P56="t",'Salary Detail'!L165,"")</f>
        <v/>
      </c>
      <c r="G266" s="53" t="str">
        <f>IF('Salary Detail'!P56="p",'Salary Detail'!L165,"")</f>
        <v/>
      </c>
      <c r="H266" s="53" t="str">
        <f>IF('Salary Detail'!P56="r",'Salary Detail'!L165,"")</f>
        <v/>
      </c>
      <c r="I266" s="53" t="str">
        <f>IF('Salary Detail'!P56="s",'Salary Detail'!L165,"")</f>
        <v/>
      </c>
      <c r="J266" s="53" t="str">
        <f>IF('Salary Detail'!P56="w",'Salary Detail'!L165,"")</f>
        <v/>
      </c>
      <c r="K266" s="53" t="str">
        <f>IF('Salary Detail'!P56="G",'Salary Detail'!L165,"")</f>
        <v/>
      </c>
      <c r="L266" s="53" t="str">
        <f>'Salary Detail'!M165</f>
        <v/>
      </c>
      <c r="M266" s="55">
        <f t="shared" si="12"/>
        <v>0</v>
      </c>
    </row>
    <row r="267" spans="1:13" x14ac:dyDescent="0.25">
      <c r="A267" s="157" t="str">
        <f>'Salary Detail'!A276</f>
        <v/>
      </c>
      <c r="B267" s="53" t="str">
        <f>IF('Salary Detail'!P57="f",'Salary Detail'!L166,"")</f>
        <v/>
      </c>
      <c r="C267" s="53" t="str">
        <f>IF('Salary Detail'!P57="o",'Salary Detail'!L166,"")</f>
        <v/>
      </c>
      <c r="D267" s="53" t="str">
        <f>IF('Salary Detail'!P57="l",'Salary Detail'!L166,"")</f>
        <v/>
      </c>
      <c r="E267" s="53" t="str">
        <f>IF('Salary Detail'!P57="a",'Salary Detail'!L166,"")</f>
        <v/>
      </c>
      <c r="F267" s="53" t="str">
        <f>IF('Salary Detail'!P57="t",'Salary Detail'!L166,"")</f>
        <v/>
      </c>
      <c r="G267" s="53" t="str">
        <f>IF('Salary Detail'!P57="p",'Salary Detail'!L166,"")</f>
        <v/>
      </c>
      <c r="H267" s="53" t="str">
        <f>IF('Salary Detail'!P57="r",'Salary Detail'!L166,"")</f>
        <v/>
      </c>
      <c r="I267" s="53" t="str">
        <f>IF('Salary Detail'!P57="s",'Salary Detail'!L166,"")</f>
        <v/>
      </c>
      <c r="J267" s="53" t="str">
        <f>IF('Salary Detail'!P57="w",'Salary Detail'!L166,"")</f>
        <v/>
      </c>
      <c r="K267" s="53" t="str">
        <f>IF('Salary Detail'!P57="G",'Salary Detail'!L166,"")</f>
        <v/>
      </c>
      <c r="L267" s="53" t="str">
        <f>'Salary Detail'!M166</f>
        <v/>
      </c>
      <c r="M267" s="55">
        <f t="shared" si="12"/>
        <v>0</v>
      </c>
    </row>
    <row r="268" spans="1:13" x14ac:dyDescent="0.25">
      <c r="A268" s="157" t="str">
        <f>'Salary Detail'!A277</f>
        <v/>
      </c>
      <c r="B268" s="53" t="str">
        <f>IF('Salary Detail'!P58="f",'Salary Detail'!L167,"")</f>
        <v/>
      </c>
      <c r="C268" s="53" t="str">
        <f>IF('Salary Detail'!P58="o",'Salary Detail'!L167,"")</f>
        <v/>
      </c>
      <c r="D268" s="53" t="str">
        <f>IF('Salary Detail'!P58="l",'Salary Detail'!L167,"")</f>
        <v/>
      </c>
      <c r="E268" s="53" t="str">
        <f>IF('Salary Detail'!P58="a",'Salary Detail'!L167,"")</f>
        <v/>
      </c>
      <c r="F268" s="53" t="str">
        <f>IF('Salary Detail'!P58="t",'Salary Detail'!L167,"")</f>
        <v/>
      </c>
      <c r="G268" s="53" t="str">
        <f>IF('Salary Detail'!P58="p",'Salary Detail'!L167,"")</f>
        <v/>
      </c>
      <c r="H268" s="53" t="str">
        <f>IF('Salary Detail'!P58="r",'Salary Detail'!L167,"")</f>
        <v/>
      </c>
      <c r="I268" s="53" t="str">
        <f>IF('Salary Detail'!P58="s",'Salary Detail'!L167,"")</f>
        <v/>
      </c>
      <c r="J268" s="53" t="str">
        <f>IF('Salary Detail'!P58="w",'Salary Detail'!L167,"")</f>
        <v/>
      </c>
      <c r="K268" s="53" t="str">
        <f>IF('Salary Detail'!P58="G",'Salary Detail'!L167,"")</f>
        <v/>
      </c>
      <c r="L268" s="53" t="str">
        <f>'Salary Detail'!M167</f>
        <v/>
      </c>
      <c r="M268" s="55">
        <f t="shared" si="12"/>
        <v>0</v>
      </c>
    </row>
    <row r="269" spans="1:13" x14ac:dyDescent="0.25">
      <c r="A269" s="157" t="str">
        <f>'Salary Detail'!A278</f>
        <v/>
      </c>
      <c r="B269" s="53" t="str">
        <f>IF('Salary Detail'!P59="f",'Salary Detail'!L168,"")</f>
        <v/>
      </c>
      <c r="C269" s="53" t="str">
        <f>IF('Salary Detail'!P59="o",'Salary Detail'!L168,"")</f>
        <v/>
      </c>
      <c r="D269" s="53" t="str">
        <f>IF('Salary Detail'!P59="l",'Salary Detail'!L168,"")</f>
        <v/>
      </c>
      <c r="E269" s="53" t="str">
        <f>IF('Salary Detail'!P59="a",'Salary Detail'!L168,"")</f>
        <v/>
      </c>
      <c r="F269" s="53" t="str">
        <f>IF('Salary Detail'!P59="t",'Salary Detail'!L168,"")</f>
        <v/>
      </c>
      <c r="G269" s="53" t="str">
        <f>IF('Salary Detail'!P59="p",'Salary Detail'!L168,"")</f>
        <v/>
      </c>
      <c r="H269" s="53" t="str">
        <f>IF('Salary Detail'!P59="r",'Salary Detail'!L168,"")</f>
        <v/>
      </c>
      <c r="I269" s="53" t="str">
        <f>IF('Salary Detail'!P59="s",'Salary Detail'!L168,"")</f>
        <v/>
      </c>
      <c r="J269" s="53" t="str">
        <f>IF('Salary Detail'!P59="w",'Salary Detail'!L168,"")</f>
        <v/>
      </c>
      <c r="K269" s="53" t="str">
        <f>IF('Salary Detail'!P59="G",'Salary Detail'!L168,"")</f>
        <v/>
      </c>
      <c r="L269" s="53" t="str">
        <f>'Salary Detail'!M168</f>
        <v/>
      </c>
      <c r="M269" s="55">
        <f t="shared" si="12"/>
        <v>0</v>
      </c>
    </row>
    <row r="270" spans="1:13" x14ac:dyDescent="0.25">
      <c r="A270" s="157" t="str">
        <f>'Salary Detail'!A279</f>
        <v/>
      </c>
      <c r="B270" s="53" t="str">
        <f>IF('Salary Detail'!P60="f",'Salary Detail'!L169,"")</f>
        <v/>
      </c>
      <c r="C270" s="53" t="str">
        <f>IF('Salary Detail'!P60="o",'Salary Detail'!L169,"")</f>
        <v/>
      </c>
      <c r="D270" s="53" t="str">
        <f>IF('Salary Detail'!P60="l",'Salary Detail'!L169,"")</f>
        <v/>
      </c>
      <c r="E270" s="53" t="str">
        <f>IF('Salary Detail'!P60="a",'Salary Detail'!L169,"")</f>
        <v/>
      </c>
      <c r="F270" s="53" t="str">
        <f>IF('Salary Detail'!P60="t",'Salary Detail'!L169,"")</f>
        <v/>
      </c>
      <c r="G270" s="53" t="str">
        <f>IF('Salary Detail'!P60="p",'Salary Detail'!L169,"")</f>
        <v/>
      </c>
      <c r="H270" s="53" t="str">
        <f>IF('Salary Detail'!P60="r",'Salary Detail'!L169,"")</f>
        <v/>
      </c>
      <c r="I270" s="53" t="str">
        <f>IF('Salary Detail'!P60="s",'Salary Detail'!L169,"")</f>
        <v/>
      </c>
      <c r="J270" s="53" t="str">
        <f>IF('Salary Detail'!P60="w",'Salary Detail'!L169,"")</f>
        <v/>
      </c>
      <c r="K270" s="53" t="str">
        <f>IF('Salary Detail'!P60="G",'Salary Detail'!L169,"")</f>
        <v/>
      </c>
      <c r="L270" s="53" t="str">
        <f>'Salary Detail'!M169</f>
        <v/>
      </c>
      <c r="M270" s="55">
        <f t="shared" si="12"/>
        <v>0</v>
      </c>
    </row>
    <row r="271" spans="1:13" x14ac:dyDescent="0.25">
      <c r="A271" s="157" t="str">
        <f>'Salary Detail'!A280</f>
        <v/>
      </c>
      <c r="B271" s="53" t="str">
        <f>IF('Salary Detail'!P61="f",'Salary Detail'!L170,"")</f>
        <v/>
      </c>
      <c r="C271" s="53" t="str">
        <f>IF('Salary Detail'!P61="o",'Salary Detail'!L170,"")</f>
        <v/>
      </c>
      <c r="D271" s="53" t="str">
        <f>IF('Salary Detail'!P61="l",'Salary Detail'!L170,"")</f>
        <v/>
      </c>
      <c r="E271" s="53" t="str">
        <f>IF('Salary Detail'!P61="a",'Salary Detail'!L170,"")</f>
        <v/>
      </c>
      <c r="F271" s="53" t="str">
        <f>IF('Salary Detail'!P61="t",'Salary Detail'!L170,"")</f>
        <v/>
      </c>
      <c r="G271" s="53" t="str">
        <f>IF('Salary Detail'!P61="p",'Salary Detail'!L170,"")</f>
        <v/>
      </c>
      <c r="H271" s="53" t="str">
        <f>IF('Salary Detail'!P61="r",'Salary Detail'!L170,"")</f>
        <v/>
      </c>
      <c r="I271" s="53" t="str">
        <f>IF('Salary Detail'!P61="s",'Salary Detail'!L170,"")</f>
        <v/>
      </c>
      <c r="J271" s="53" t="str">
        <f>IF('Salary Detail'!P61="w",'Salary Detail'!L170,"")</f>
        <v/>
      </c>
      <c r="K271" s="53" t="str">
        <f>IF('Salary Detail'!P61="G",'Salary Detail'!L170,"")</f>
        <v/>
      </c>
      <c r="L271" s="53" t="str">
        <f>'Salary Detail'!M170</f>
        <v/>
      </c>
      <c r="M271" s="55">
        <f t="shared" si="12"/>
        <v>0</v>
      </c>
    </row>
    <row r="272" spans="1:13" x14ac:dyDescent="0.25">
      <c r="A272" s="157" t="str">
        <f>'Salary Detail'!A281</f>
        <v/>
      </c>
      <c r="B272" s="53" t="str">
        <f>IF('Salary Detail'!P62="f",'Salary Detail'!L171,"")</f>
        <v/>
      </c>
      <c r="C272" s="53" t="str">
        <f>IF('Salary Detail'!P62="o",'Salary Detail'!L171,"")</f>
        <v/>
      </c>
      <c r="D272" s="53" t="str">
        <f>IF('Salary Detail'!P62="l",'Salary Detail'!L171,"")</f>
        <v/>
      </c>
      <c r="E272" s="53" t="str">
        <f>IF('Salary Detail'!P62="a",'Salary Detail'!L171,"")</f>
        <v/>
      </c>
      <c r="F272" s="53" t="str">
        <f>IF('Salary Detail'!P62="t",'Salary Detail'!L171,"")</f>
        <v/>
      </c>
      <c r="G272" s="53" t="str">
        <f>IF('Salary Detail'!P62="p",'Salary Detail'!L171,"")</f>
        <v/>
      </c>
      <c r="H272" s="53" t="str">
        <f>IF('Salary Detail'!P62="r",'Salary Detail'!L171,"")</f>
        <v/>
      </c>
      <c r="I272" s="53" t="str">
        <f>IF('Salary Detail'!P62="s",'Salary Detail'!L171,"")</f>
        <v/>
      </c>
      <c r="J272" s="53" t="str">
        <f>IF('Salary Detail'!P62="w",'Salary Detail'!L171,"")</f>
        <v/>
      </c>
      <c r="K272" s="53" t="str">
        <f>IF('Salary Detail'!P62="G",'Salary Detail'!L171,"")</f>
        <v/>
      </c>
      <c r="L272" s="53" t="str">
        <f>'Salary Detail'!M171</f>
        <v/>
      </c>
      <c r="M272" s="55">
        <f t="shared" si="12"/>
        <v>0</v>
      </c>
    </row>
    <row r="273" spans="1:13" ht="13" thickBot="1" x14ac:dyDescent="0.3">
      <c r="A273" s="158" t="str">
        <f>'Salary Detail'!A282</f>
        <v/>
      </c>
      <c r="B273" s="53" t="str">
        <f>IF('Salary Detail'!P63="f",'Salary Detail'!L172,"")</f>
        <v/>
      </c>
      <c r="C273" s="53" t="str">
        <f>IF('Salary Detail'!P63="o",'Salary Detail'!L172,"")</f>
        <v/>
      </c>
      <c r="D273" s="53" t="str">
        <f>IF('Salary Detail'!P63="l",'Salary Detail'!L172,"")</f>
        <v/>
      </c>
      <c r="E273" s="152" t="str">
        <f>IF('Salary Detail'!P63="a",'Salary Detail'!L172,"")</f>
        <v/>
      </c>
      <c r="F273" s="152" t="str">
        <f>IF('Salary Detail'!P63="t",'Salary Detail'!L172,"")</f>
        <v/>
      </c>
      <c r="G273" s="152" t="str">
        <f>IF('Salary Detail'!P63="p",'Salary Detail'!L172,"")</f>
        <v/>
      </c>
      <c r="H273" s="152" t="str">
        <f>IF('Salary Detail'!P63="r",'Salary Detail'!L172,"")</f>
        <v/>
      </c>
      <c r="I273" s="152" t="str">
        <f>IF('Salary Detail'!P63="s",'Salary Detail'!L172,"")</f>
        <v/>
      </c>
      <c r="J273" s="152" t="str">
        <f>IF('Salary Detail'!P63="w",'Salary Detail'!L172,"")</f>
        <v/>
      </c>
      <c r="K273" s="152" t="str">
        <f>IF('Salary Detail'!P63="G",'Salary Detail'!L172,"")</f>
        <v/>
      </c>
      <c r="L273" s="152" t="str">
        <f>'Salary Detail'!M172</f>
        <v/>
      </c>
      <c r="M273" s="55">
        <f t="shared" si="12"/>
        <v>0</v>
      </c>
    </row>
    <row r="274" spans="1:13" ht="13" x14ac:dyDescent="0.3">
      <c r="A274" s="75" t="s">
        <v>72</v>
      </c>
      <c r="B274" s="73">
        <f t="shared" ref="B274:K274" si="13">SUM(B234:B273)</f>
        <v>0</v>
      </c>
      <c r="C274" s="73">
        <f t="shared" si="13"/>
        <v>0</v>
      </c>
      <c r="D274" s="73">
        <f t="shared" si="13"/>
        <v>0</v>
      </c>
      <c r="E274" s="73">
        <f t="shared" si="13"/>
        <v>0</v>
      </c>
      <c r="F274" s="73">
        <f t="shared" si="13"/>
        <v>0</v>
      </c>
      <c r="G274" s="73">
        <f t="shared" si="13"/>
        <v>0</v>
      </c>
      <c r="H274" s="73">
        <f t="shared" si="13"/>
        <v>0</v>
      </c>
      <c r="I274" s="73">
        <f t="shared" si="13"/>
        <v>0</v>
      </c>
      <c r="J274" s="73">
        <f t="shared" si="13"/>
        <v>0</v>
      </c>
      <c r="K274" s="73">
        <f t="shared" si="13"/>
        <v>0</v>
      </c>
      <c r="L274" s="375"/>
      <c r="M274" s="74">
        <f>SUM(M234:M273)</f>
        <v>0</v>
      </c>
    </row>
    <row r="275" spans="1:13" ht="13" x14ac:dyDescent="0.3">
      <c r="A275" s="386" t="s">
        <v>288</v>
      </c>
      <c r="B275" s="94">
        <f>Year1Weight*VLOOKUP("F",FringeTable,2,FALSE)+Year2Weight*VLOOKUP("F",FringeTable,3,FALSE)+Year3Weight*VLOOKUP("F",FringeTable,4,FALSE)</f>
        <v>0.3</v>
      </c>
      <c r="C275" s="94">
        <f>Year1Weight*VLOOKUP("A",FringeTable,2,FALSE)+Year2Weight*VLOOKUP("A",FringeTable,3,FALSE)+Year3Weight*VLOOKUP("A",FringeTable,4,FALSE)</f>
        <v>0.38</v>
      </c>
      <c r="D275" s="94">
        <f>Year1Weight*VLOOKUP("A",FringeTable,2,FALSE)+Year2Weight*VLOOKUP("A",FringeTable,3,FALSE)+Year3Weight*VLOOKUP("A",FringeTable,4,FALSE)</f>
        <v>0.38</v>
      </c>
      <c r="E275" s="94">
        <f>Year1Weight*VLOOKUP("A",FringeTable,2,FALSE)+Year2Weight*VLOOKUP("A",FringeTable,3,FALSE)+Year3Weight*VLOOKUP("A",FringeTable,4,FALSE)</f>
        <v>0.38</v>
      </c>
      <c r="F275" s="94">
        <f>VLOOKUP("t",[0]!fringes,2,FALSE)</f>
        <v>0.24</v>
      </c>
      <c r="G275" s="94">
        <f>Year1Weight*VLOOKUP("P",FringeTable,2,FALSE)+Year2Weight*VLOOKUP("P",FringeTable,3,FALSE)+Year3Weight*VLOOKUP("P",FringeTable,4,FALSE)</f>
        <v>0.26</v>
      </c>
      <c r="H275" s="94">
        <f>VLOOKUP("r",[0]!fringes,2,FALSE)</f>
        <v>8.1000000000000003E-2</v>
      </c>
      <c r="I275" s="94">
        <f>VLOOKUP("s",[0]!fringes,2,FALSE)</f>
        <v>0.01</v>
      </c>
      <c r="J275" s="94">
        <f>VLOOKUP("w",[0]!fringes,2,FALSE)</f>
        <v>0.01</v>
      </c>
      <c r="K275" s="369" t="s">
        <v>261</v>
      </c>
      <c r="L275" s="51">
        <f>SUM(B274:K274)</f>
        <v>0</v>
      </c>
      <c r="M275" s="372" t="s">
        <v>22</v>
      </c>
    </row>
    <row r="276" spans="1:13" ht="13" x14ac:dyDescent="0.3">
      <c r="A276" s="49" t="s">
        <v>73</v>
      </c>
      <c r="B276" s="51">
        <f>SUMIF('Salary Detail'!$P$24:$P$63,"f",'Salary Detail'!$M$133:$M$172)</f>
        <v>0</v>
      </c>
      <c r="C276" s="51">
        <f>SUMIF('Salary Detail'!$P$24:$P$63,"O",'Salary Detail'!$M$133:$M$172)</f>
        <v>0</v>
      </c>
      <c r="D276" s="51">
        <f>SUMIF('Salary Detail'!$P$24:$P$63,"L",'Salary Detail'!$M$133:$M$172)</f>
        <v>0</v>
      </c>
      <c r="E276" s="51">
        <f>SUMIF('Salary Detail'!$P$24:$P$63,"a",'Salary Detail'!$M$133:$M$172)</f>
        <v>0</v>
      </c>
      <c r="F276" s="51">
        <f>SUMIF('Salary Detail'!$P$24:$P$63,"t",'Salary Detail'!$M$133:$M$172)</f>
        <v>0</v>
      </c>
      <c r="G276" s="51">
        <f>SUMIF('Salary Detail'!$P$24:$P$63,"p",'Salary Detail'!$M$133:$M$172)</f>
        <v>0</v>
      </c>
      <c r="H276" s="51">
        <f>SUMIF('Salary Detail'!$P$24:$P$63,"r",'Salary Detail'!$M$133:$M$172)</f>
        <v>0</v>
      </c>
      <c r="I276" s="51">
        <f>SUMIF('Salary Detail'!$P$24:$P$63,"s",'Salary Detail'!$M$133:$M$172)</f>
        <v>0</v>
      </c>
      <c r="J276" s="51">
        <f>SUMIF('Salary Detail'!$P$24:$P$63,"w",'Salary Detail'!$M$133:$M$172)</f>
        <v>0</v>
      </c>
      <c r="K276" s="51">
        <f>SUMIF('Salary Detail'!$P$24:$P$63,"g",'Salary Detail'!$M$133:$M$172)</f>
        <v>0</v>
      </c>
      <c r="L276" s="376">
        <f>SUM(B276:K276)</f>
        <v>0</v>
      </c>
      <c r="M276" s="373" t="s">
        <v>81</v>
      </c>
    </row>
    <row r="277" spans="1:13" ht="13.5" thickBot="1" x14ac:dyDescent="0.35">
      <c r="A277" s="153" t="s">
        <v>74</v>
      </c>
      <c r="B277" s="154">
        <f t="shared" ref="B277:K277" si="14">B274+B276</f>
        <v>0</v>
      </c>
      <c r="C277" s="154">
        <f t="shared" si="14"/>
        <v>0</v>
      </c>
      <c r="D277" s="154">
        <f t="shared" si="14"/>
        <v>0</v>
      </c>
      <c r="E277" s="154">
        <f t="shared" si="14"/>
        <v>0</v>
      </c>
      <c r="F277" s="154">
        <f t="shared" si="14"/>
        <v>0</v>
      </c>
      <c r="G277" s="154">
        <f t="shared" si="14"/>
        <v>0</v>
      </c>
      <c r="H277" s="154">
        <f t="shared" si="14"/>
        <v>0</v>
      </c>
      <c r="I277" s="154">
        <f t="shared" si="14"/>
        <v>0</v>
      </c>
      <c r="J277" s="154">
        <f t="shared" si="14"/>
        <v>0</v>
      </c>
      <c r="K277" s="154">
        <f t="shared" si="14"/>
        <v>0</v>
      </c>
      <c r="L277" s="371">
        <f>SUM(B277:K277)</f>
        <v>0</v>
      </c>
      <c r="M277" s="385" t="s">
        <v>289</v>
      </c>
    </row>
    <row r="278" spans="1:13" ht="13" x14ac:dyDescent="0.3">
      <c r="A278" s="59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1"/>
    </row>
    <row r="279" spans="1:13" ht="13" x14ac:dyDescent="0.3">
      <c r="A279" s="59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1"/>
    </row>
    <row r="280" spans="1:13" ht="13" x14ac:dyDescent="0.3">
      <c r="A280" s="970" t="s">
        <v>0</v>
      </c>
      <c r="B280" s="971"/>
      <c r="C280" s="971"/>
      <c r="D280" s="971"/>
      <c r="E280" s="971"/>
      <c r="F280" s="971"/>
      <c r="G280" s="971"/>
      <c r="H280" s="971"/>
      <c r="I280" s="971"/>
      <c r="J280" s="971"/>
      <c r="K280" s="971"/>
      <c r="L280" s="971"/>
      <c r="M280" s="971"/>
    </row>
    <row r="281" spans="1:13" ht="13" x14ac:dyDescent="0.3">
      <c r="A281" s="970" t="s">
        <v>65</v>
      </c>
      <c r="B281" s="971"/>
      <c r="C281" s="971"/>
      <c r="D281" s="971"/>
      <c r="E281" s="971"/>
      <c r="F281" s="971"/>
      <c r="G281" s="971"/>
      <c r="H281" s="971"/>
      <c r="I281" s="971"/>
      <c r="J281" s="971"/>
      <c r="K281" s="971"/>
      <c r="L281" s="971"/>
      <c r="M281" s="971"/>
    </row>
    <row r="282" spans="1:13" ht="13" x14ac:dyDescent="0.3">
      <c r="A282" s="72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</row>
    <row r="283" spans="1:13" x14ac:dyDescent="0.25">
      <c r="E283" s="77" t="s">
        <v>138</v>
      </c>
      <c r="F283" s="967" t="str">
        <f>IF('Salary Detail'!E5=0,"",'Salary Detail'!E5)</f>
        <v/>
      </c>
      <c r="G283" s="943"/>
      <c r="H283" s="943"/>
      <c r="I283" s="943"/>
      <c r="J283" s="147"/>
      <c r="K283" s="147"/>
      <c r="L283" s="147"/>
    </row>
    <row r="284" spans="1:13" x14ac:dyDescent="0.25">
      <c r="E284" s="77" t="s">
        <v>8</v>
      </c>
      <c r="F284" s="967" t="str">
        <f>IF('Salary Detail'!E6=0,"",'Salary Detail'!E6)</f>
        <v/>
      </c>
      <c r="G284" s="943"/>
      <c r="H284" s="943"/>
      <c r="I284" s="943"/>
      <c r="J284" s="147"/>
      <c r="K284" s="147"/>
      <c r="L284" s="147"/>
      <c r="M284" s="78"/>
    </row>
    <row r="285" spans="1:13" x14ac:dyDescent="0.25">
      <c r="E285" s="77" t="s">
        <v>122</v>
      </c>
      <c r="F285" s="967" t="str">
        <f>IF('Salary Detail'!E7=0,"",'Salary Detail'!E7)</f>
        <v/>
      </c>
      <c r="G285" s="943"/>
      <c r="H285" s="943"/>
      <c r="I285" s="943"/>
      <c r="J285" s="147"/>
      <c r="K285" s="147"/>
      <c r="L285" s="147"/>
      <c r="M285" s="78"/>
    </row>
    <row r="286" spans="1:13" x14ac:dyDescent="0.25">
      <c r="E286" s="77" t="s">
        <v>10</v>
      </c>
      <c r="F286" s="967" t="str">
        <f>IF('Salary Detail'!E8=0,"",'Salary Detail'!E8)</f>
        <v/>
      </c>
      <c r="G286" s="943"/>
      <c r="H286" s="943"/>
      <c r="I286" s="943"/>
      <c r="J286" s="147"/>
      <c r="K286" s="147"/>
      <c r="L286" s="147"/>
    </row>
    <row r="287" spans="1:13" x14ac:dyDescent="0.25">
      <c r="A287" s="77"/>
      <c r="B287" s="62"/>
      <c r="C287" s="62"/>
      <c r="D287" s="62"/>
      <c r="G287" s="77"/>
      <c r="H287" s="7"/>
    </row>
    <row r="288" spans="1:13" ht="13" x14ac:dyDescent="0.3">
      <c r="A288" s="2" t="s">
        <v>75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5"/>
    </row>
    <row r="289" spans="1:13" x14ac:dyDescent="0.25">
      <c r="A289" s="49"/>
      <c r="B289" s="50" t="s">
        <v>67</v>
      </c>
      <c r="C289" s="56" t="s">
        <v>274</v>
      </c>
      <c r="D289" s="56" t="s">
        <v>275</v>
      </c>
      <c r="E289" s="50" t="s">
        <v>68</v>
      </c>
      <c r="F289" s="50" t="s">
        <v>69</v>
      </c>
      <c r="G289" s="56" t="s">
        <v>117</v>
      </c>
      <c r="H289" s="56" t="s">
        <v>135</v>
      </c>
      <c r="I289" s="50" t="s">
        <v>70</v>
      </c>
      <c r="J289" s="50" t="s">
        <v>71</v>
      </c>
      <c r="K289" s="56" t="s">
        <v>253</v>
      </c>
      <c r="L289" s="56" t="s">
        <v>23</v>
      </c>
      <c r="M289" s="50" t="s">
        <v>46</v>
      </c>
    </row>
    <row r="290" spans="1:13" x14ac:dyDescent="0.25">
      <c r="A290" s="156" t="str">
        <f>IF('Salary Detail'!A24=0,"",'Salary Detail'!A24)</f>
        <v/>
      </c>
      <c r="B290" s="53" t="str">
        <f t="shared" ref="B290:M290" si="15">IF(SUM(B234,B179,B124,B69,B13)=0,"",SUM(B234,B179,B124,B69,B13))</f>
        <v/>
      </c>
      <c r="C290" s="53" t="str">
        <f t="shared" si="15"/>
        <v/>
      </c>
      <c r="D290" s="53" t="str">
        <f t="shared" si="15"/>
        <v/>
      </c>
      <c r="E290" s="53" t="str">
        <f t="shared" si="15"/>
        <v/>
      </c>
      <c r="F290" s="53" t="str">
        <f t="shared" si="15"/>
        <v/>
      </c>
      <c r="G290" s="53" t="str">
        <f t="shared" si="15"/>
        <v/>
      </c>
      <c r="H290" s="53" t="str">
        <f t="shared" si="15"/>
        <v/>
      </c>
      <c r="I290" s="53" t="str">
        <f t="shared" si="15"/>
        <v/>
      </c>
      <c r="J290" s="53" t="str">
        <f t="shared" si="15"/>
        <v/>
      </c>
      <c r="K290" s="53" t="str">
        <f t="shared" si="15"/>
        <v/>
      </c>
      <c r="L290" s="53" t="str">
        <f t="shared" si="15"/>
        <v/>
      </c>
      <c r="M290" s="53" t="str">
        <f t="shared" si="15"/>
        <v/>
      </c>
    </row>
    <row r="291" spans="1:13" x14ac:dyDescent="0.25">
      <c r="A291" s="157" t="str">
        <f>IF('Salary Detail'!A25=0,"",'Salary Detail'!A25)</f>
        <v/>
      </c>
      <c r="B291" s="53" t="str">
        <f t="shared" ref="B291:M291" si="16">IF(SUM(B235,B180,B125,B70,B14)=0,"",SUM(B235,B180,B125,B70,B14))</f>
        <v/>
      </c>
      <c r="C291" s="53" t="str">
        <f t="shared" si="16"/>
        <v/>
      </c>
      <c r="D291" s="53" t="str">
        <f t="shared" si="16"/>
        <v/>
      </c>
      <c r="E291" s="53" t="str">
        <f t="shared" si="16"/>
        <v/>
      </c>
      <c r="F291" s="53" t="str">
        <f t="shared" si="16"/>
        <v/>
      </c>
      <c r="G291" s="53" t="str">
        <f t="shared" si="16"/>
        <v/>
      </c>
      <c r="H291" s="53" t="str">
        <f t="shared" si="16"/>
        <v/>
      </c>
      <c r="I291" s="53" t="str">
        <f t="shared" si="16"/>
        <v/>
      </c>
      <c r="J291" s="53" t="str">
        <f t="shared" si="16"/>
        <v/>
      </c>
      <c r="K291" s="53" t="str">
        <f t="shared" si="16"/>
        <v/>
      </c>
      <c r="L291" s="53" t="str">
        <f t="shared" si="16"/>
        <v/>
      </c>
      <c r="M291" s="53" t="str">
        <f t="shared" si="16"/>
        <v/>
      </c>
    </row>
    <row r="292" spans="1:13" x14ac:dyDescent="0.25">
      <c r="A292" s="157" t="str">
        <f>IF('Salary Detail'!A26=0,"",'Salary Detail'!A26)</f>
        <v/>
      </c>
      <c r="B292" s="53" t="str">
        <f t="shared" ref="B292:M292" si="17">IF(SUM(B236,B181,B126,B71,B15)=0,"",SUM(B236,B181,B126,B71,B15))</f>
        <v/>
      </c>
      <c r="C292" s="53" t="str">
        <f t="shared" si="17"/>
        <v/>
      </c>
      <c r="D292" s="53" t="str">
        <f t="shared" si="17"/>
        <v/>
      </c>
      <c r="E292" s="53" t="str">
        <f t="shared" si="17"/>
        <v/>
      </c>
      <c r="F292" s="53" t="str">
        <f t="shared" si="17"/>
        <v/>
      </c>
      <c r="G292" s="53" t="str">
        <f t="shared" si="17"/>
        <v/>
      </c>
      <c r="H292" s="53" t="str">
        <f t="shared" si="17"/>
        <v/>
      </c>
      <c r="I292" s="53" t="str">
        <f t="shared" si="17"/>
        <v/>
      </c>
      <c r="J292" s="53" t="str">
        <f t="shared" si="17"/>
        <v/>
      </c>
      <c r="K292" s="53" t="str">
        <f t="shared" si="17"/>
        <v/>
      </c>
      <c r="L292" s="53" t="str">
        <f t="shared" si="17"/>
        <v/>
      </c>
      <c r="M292" s="53" t="str">
        <f t="shared" si="17"/>
        <v/>
      </c>
    </row>
    <row r="293" spans="1:13" x14ac:dyDescent="0.25">
      <c r="A293" s="157" t="str">
        <f>IF('Salary Detail'!A27=0,"",'Salary Detail'!A27)</f>
        <v/>
      </c>
      <c r="B293" s="53" t="str">
        <f t="shared" ref="B293:M293" si="18">IF(SUM(B237,B182,B127,B72,B16)=0,"",SUM(B237,B182,B127,B72,B16))</f>
        <v/>
      </c>
      <c r="C293" s="53" t="str">
        <f t="shared" si="18"/>
        <v/>
      </c>
      <c r="D293" s="53" t="str">
        <f t="shared" si="18"/>
        <v/>
      </c>
      <c r="E293" s="53" t="str">
        <f t="shared" si="18"/>
        <v/>
      </c>
      <c r="F293" s="53" t="str">
        <f t="shared" si="18"/>
        <v/>
      </c>
      <c r="G293" s="53" t="str">
        <f t="shared" si="18"/>
        <v/>
      </c>
      <c r="H293" s="53" t="str">
        <f t="shared" si="18"/>
        <v/>
      </c>
      <c r="I293" s="53" t="str">
        <f t="shared" si="18"/>
        <v/>
      </c>
      <c r="J293" s="53" t="str">
        <f t="shared" si="18"/>
        <v/>
      </c>
      <c r="K293" s="53" t="str">
        <f t="shared" si="18"/>
        <v/>
      </c>
      <c r="L293" s="53" t="str">
        <f t="shared" si="18"/>
        <v/>
      </c>
      <c r="M293" s="53" t="str">
        <f t="shared" si="18"/>
        <v/>
      </c>
    </row>
    <row r="294" spans="1:13" x14ac:dyDescent="0.25">
      <c r="A294" s="157" t="str">
        <f>IF('Salary Detail'!A28=0,"",'Salary Detail'!A28)</f>
        <v/>
      </c>
      <c r="B294" s="53" t="str">
        <f t="shared" ref="B294:M294" si="19">IF(SUM(B238,B183,B128,B73,B17)=0,"",SUM(B238,B183,B128,B73,B17))</f>
        <v/>
      </c>
      <c r="C294" s="53" t="str">
        <f t="shared" si="19"/>
        <v/>
      </c>
      <c r="D294" s="53" t="str">
        <f t="shared" si="19"/>
        <v/>
      </c>
      <c r="E294" s="53" t="str">
        <f t="shared" si="19"/>
        <v/>
      </c>
      <c r="F294" s="53" t="str">
        <f t="shared" si="19"/>
        <v/>
      </c>
      <c r="G294" s="53" t="str">
        <f t="shared" si="19"/>
        <v/>
      </c>
      <c r="H294" s="53" t="str">
        <f t="shared" si="19"/>
        <v/>
      </c>
      <c r="I294" s="53" t="str">
        <f t="shared" si="19"/>
        <v/>
      </c>
      <c r="J294" s="53" t="str">
        <f t="shared" si="19"/>
        <v/>
      </c>
      <c r="K294" s="53" t="str">
        <f t="shared" si="19"/>
        <v/>
      </c>
      <c r="L294" s="53" t="str">
        <f t="shared" si="19"/>
        <v/>
      </c>
      <c r="M294" s="53" t="str">
        <f t="shared" si="19"/>
        <v/>
      </c>
    </row>
    <row r="295" spans="1:13" x14ac:dyDescent="0.25">
      <c r="A295" s="157" t="str">
        <f>IF('Salary Detail'!A29=0,"",'Salary Detail'!A29)</f>
        <v/>
      </c>
      <c r="B295" s="53" t="str">
        <f t="shared" ref="B295:M295" si="20">IF(SUM(B239,B184,B129,B74,B18)=0,"",SUM(B239,B184,B129,B74,B18))</f>
        <v/>
      </c>
      <c r="C295" s="53" t="str">
        <f t="shared" si="20"/>
        <v/>
      </c>
      <c r="D295" s="53" t="str">
        <f t="shared" si="20"/>
        <v/>
      </c>
      <c r="E295" s="53" t="str">
        <f t="shared" si="20"/>
        <v/>
      </c>
      <c r="F295" s="53" t="str">
        <f t="shared" si="20"/>
        <v/>
      </c>
      <c r="G295" s="53" t="str">
        <f t="shared" si="20"/>
        <v/>
      </c>
      <c r="H295" s="53" t="str">
        <f t="shared" si="20"/>
        <v/>
      </c>
      <c r="I295" s="53" t="str">
        <f t="shared" si="20"/>
        <v/>
      </c>
      <c r="J295" s="53" t="str">
        <f t="shared" si="20"/>
        <v/>
      </c>
      <c r="K295" s="53" t="str">
        <f t="shared" si="20"/>
        <v/>
      </c>
      <c r="L295" s="53" t="str">
        <f t="shared" si="20"/>
        <v/>
      </c>
      <c r="M295" s="53" t="str">
        <f t="shared" si="20"/>
        <v/>
      </c>
    </row>
    <row r="296" spans="1:13" x14ac:dyDescent="0.25">
      <c r="A296" s="157" t="str">
        <f>IF('Salary Detail'!A30=0,"",'Salary Detail'!A30)</f>
        <v/>
      </c>
      <c r="B296" s="53" t="str">
        <f t="shared" ref="B296:M296" si="21">IF(SUM(B240,B185,B130,B75,B19)=0,"",SUM(B240,B185,B130,B75,B19))</f>
        <v/>
      </c>
      <c r="C296" s="53" t="str">
        <f t="shared" si="21"/>
        <v/>
      </c>
      <c r="D296" s="53" t="str">
        <f t="shared" si="21"/>
        <v/>
      </c>
      <c r="E296" s="53" t="str">
        <f t="shared" si="21"/>
        <v/>
      </c>
      <c r="F296" s="53" t="str">
        <f t="shared" si="21"/>
        <v/>
      </c>
      <c r="G296" s="53" t="str">
        <f t="shared" si="21"/>
        <v/>
      </c>
      <c r="H296" s="53" t="str">
        <f t="shared" si="21"/>
        <v/>
      </c>
      <c r="I296" s="53" t="str">
        <f t="shared" si="21"/>
        <v/>
      </c>
      <c r="J296" s="53" t="str">
        <f t="shared" si="21"/>
        <v/>
      </c>
      <c r="K296" s="53" t="str">
        <f t="shared" si="21"/>
        <v/>
      </c>
      <c r="L296" s="53" t="str">
        <f t="shared" si="21"/>
        <v/>
      </c>
      <c r="M296" s="53" t="str">
        <f t="shared" si="21"/>
        <v/>
      </c>
    </row>
    <row r="297" spans="1:13" x14ac:dyDescent="0.25">
      <c r="A297" s="157" t="str">
        <f>IF('Salary Detail'!A31=0,"",'Salary Detail'!A31)</f>
        <v/>
      </c>
      <c r="B297" s="53" t="str">
        <f t="shared" ref="B297:M297" si="22">IF(SUM(B241,B186,B131,B76,B20)=0,"",SUM(B241,B186,B131,B76,B20))</f>
        <v/>
      </c>
      <c r="C297" s="53" t="str">
        <f t="shared" si="22"/>
        <v/>
      </c>
      <c r="D297" s="53" t="str">
        <f t="shared" si="22"/>
        <v/>
      </c>
      <c r="E297" s="53" t="str">
        <f t="shared" si="22"/>
        <v/>
      </c>
      <c r="F297" s="53" t="str">
        <f t="shared" si="22"/>
        <v/>
      </c>
      <c r="G297" s="53" t="str">
        <f t="shared" si="22"/>
        <v/>
      </c>
      <c r="H297" s="53" t="str">
        <f t="shared" si="22"/>
        <v/>
      </c>
      <c r="I297" s="53" t="str">
        <f t="shared" si="22"/>
        <v/>
      </c>
      <c r="J297" s="53" t="str">
        <f t="shared" si="22"/>
        <v/>
      </c>
      <c r="K297" s="53" t="str">
        <f t="shared" si="22"/>
        <v/>
      </c>
      <c r="L297" s="53" t="str">
        <f t="shared" si="22"/>
        <v/>
      </c>
      <c r="M297" s="53" t="str">
        <f t="shared" si="22"/>
        <v/>
      </c>
    </row>
    <row r="298" spans="1:13" x14ac:dyDescent="0.25">
      <c r="A298" s="157" t="str">
        <f>IF('Salary Detail'!A32=0,"",'Salary Detail'!A32)</f>
        <v/>
      </c>
      <c r="B298" s="53" t="str">
        <f t="shared" ref="B298:M298" si="23">IF(SUM(B242,B187,B132,B77,B21)=0,"",SUM(B242,B187,B132,B77,B21))</f>
        <v/>
      </c>
      <c r="C298" s="53" t="str">
        <f t="shared" si="23"/>
        <v/>
      </c>
      <c r="D298" s="53" t="str">
        <f t="shared" si="23"/>
        <v/>
      </c>
      <c r="E298" s="53" t="str">
        <f t="shared" si="23"/>
        <v/>
      </c>
      <c r="F298" s="53" t="str">
        <f t="shared" si="23"/>
        <v/>
      </c>
      <c r="G298" s="53" t="str">
        <f t="shared" si="23"/>
        <v/>
      </c>
      <c r="H298" s="53" t="str">
        <f t="shared" si="23"/>
        <v/>
      </c>
      <c r="I298" s="53" t="str">
        <f t="shared" si="23"/>
        <v/>
      </c>
      <c r="J298" s="53" t="str">
        <f t="shared" si="23"/>
        <v/>
      </c>
      <c r="K298" s="53" t="str">
        <f t="shared" si="23"/>
        <v/>
      </c>
      <c r="L298" s="53" t="str">
        <f t="shared" si="23"/>
        <v/>
      </c>
      <c r="M298" s="53" t="str">
        <f t="shared" si="23"/>
        <v/>
      </c>
    </row>
    <row r="299" spans="1:13" x14ac:dyDescent="0.25">
      <c r="A299" s="157" t="str">
        <f>IF('Salary Detail'!A33=0,"",'Salary Detail'!A33)</f>
        <v/>
      </c>
      <c r="B299" s="53" t="str">
        <f t="shared" ref="B299:M299" si="24">IF(SUM(B243,B188,B133,B78,B22)=0,"",SUM(B243,B188,B133,B78,B22))</f>
        <v/>
      </c>
      <c r="C299" s="53" t="str">
        <f t="shared" si="24"/>
        <v/>
      </c>
      <c r="D299" s="53" t="str">
        <f t="shared" si="24"/>
        <v/>
      </c>
      <c r="E299" s="53" t="str">
        <f t="shared" si="24"/>
        <v/>
      </c>
      <c r="F299" s="53" t="str">
        <f t="shared" si="24"/>
        <v/>
      </c>
      <c r="G299" s="53" t="str">
        <f t="shared" si="24"/>
        <v/>
      </c>
      <c r="H299" s="53" t="str">
        <f t="shared" si="24"/>
        <v/>
      </c>
      <c r="I299" s="53" t="str">
        <f t="shared" si="24"/>
        <v/>
      </c>
      <c r="J299" s="53" t="str">
        <f t="shared" si="24"/>
        <v/>
      </c>
      <c r="K299" s="53" t="str">
        <f t="shared" si="24"/>
        <v/>
      </c>
      <c r="L299" s="53" t="str">
        <f t="shared" si="24"/>
        <v/>
      </c>
      <c r="M299" s="53" t="str">
        <f t="shared" si="24"/>
        <v/>
      </c>
    </row>
    <row r="300" spans="1:13" x14ac:dyDescent="0.25">
      <c r="A300" s="157" t="str">
        <f>IF('Salary Detail'!A34=0,"",'Salary Detail'!A34)</f>
        <v/>
      </c>
      <c r="B300" s="53" t="str">
        <f t="shared" ref="B300:M300" si="25">IF(SUM(B244,B189,B134,B79,B23)=0,"",SUM(B244,B189,B134,B79,B23))</f>
        <v/>
      </c>
      <c r="C300" s="53" t="str">
        <f t="shared" si="25"/>
        <v/>
      </c>
      <c r="D300" s="53" t="str">
        <f t="shared" si="25"/>
        <v/>
      </c>
      <c r="E300" s="53" t="str">
        <f t="shared" si="25"/>
        <v/>
      </c>
      <c r="F300" s="53" t="str">
        <f t="shared" si="25"/>
        <v/>
      </c>
      <c r="G300" s="53" t="str">
        <f t="shared" si="25"/>
        <v/>
      </c>
      <c r="H300" s="53" t="str">
        <f t="shared" si="25"/>
        <v/>
      </c>
      <c r="I300" s="53" t="str">
        <f t="shared" si="25"/>
        <v/>
      </c>
      <c r="J300" s="53" t="str">
        <f t="shared" si="25"/>
        <v/>
      </c>
      <c r="K300" s="53" t="str">
        <f t="shared" si="25"/>
        <v/>
      </c>
      <c r="L300" s="53" t="str">
        <f t="shared" si="25"/>
        <v/>
      </c>
      <c r="M300" s="53" t="str">
        <f t="shared" si="25"/>
        <v/>
      </c>
    </row>
    <row r="301" spans="1:13" x14ac:dyDescent="0.25">
      <c r="A301" s="157" t="str">
        <f>IF('Salary Detail'!A35=0,"",'Salary Detail'!A35)</f>
        <v/>
      </c>
      <c r="B301" s="53" t="str">
        <f t="shared" ref="B301:M301" si="26">IF(SUM(B245,B190,B135,B80,B24)=0,"",SUM(B245,B190,B135,B80,B24))</f>
        <v/>
      </c>
      <c r="C301" s="53" t="str">
        <f t="shared" si="26"/>
        <v/>
      </c>
      <c r="D301" s="53" t="str">
        <f t="shared" si="26"/>
        <v/>
      </c>
      <c r="E301" s="53" t="str">
        <f t="shared" si="26"/>
        <v/>
      </c>
      <c r="F301" s="53" t="str">
        <f t="shared" si="26"/>
        <v/>
      </c>
      <c r="G301" s="53" t="str">
        <f t="shared" si="26"/>
        <v/>
      </c>
      <c r="H301" s="53" t="str">
        <f t="shared" si="26"/>
        <v/>
      </c>
      <c r="I301" s="53" t="str">
        <f t="shared" si="26"/>
        <v/>
      </c>
      <c r="J301" s="53" t="str">
        <f t="shared" si="26"/>
        <v/>
      </c>
      <c r="K301" s="53" t="str">
        <f t="shared" si="26"/>
        <v/>
      </c>
      <c r="L301" s="53" t="str">
        <f t="shared" si="26"/>
        <v/>
      </c>
      <c r="M301" s="53" t="str">
        <f t="shared" si="26"/>
        <v/>
      </c>
    </row>
    <row r="302" spans="1:13" x14ac:dyDescent="0.25">
      <c r="A302" s="157" t="str">
        <f>IF('Salary Detail'!A36=0,"",'Salary Detail'!A36)</f>
        <v/>
      </c>
      <c r="B302" s="53" t="str">
        <f t="shared" ref="B302:M302" si="27">IF(SUM(B246,B191,B136,B81,B25)=0,"",SUM(B246,B191,B136,B81,B25))</f>
        <v/>
      </c>
      <c r="C302" s="53" t="str">
        <f t="shared" si="27"/>
        <v/>
      </c>
      <c r="D302" s="53" t="str">
        <f t="shared" si="27"/>
        <v/>
      </c>
      <c r="E302" s="53" t="str">
        <f t="shared" si="27"/>
        <v/>
      </c>
      <c r="F302" s="53" t="str">
        <f t="shared" si="27"/>
        <v/>
      </c>
      <c r="G302" s="53" t="str">
        <f t="shared" si="27"/>
        <v/>
      </c>
      <c r="H302" s="53" t="str">
        <f t="shared" si="27"/>
        <v/>
      </c>
      <c r="I302" s="53" t="str">
        <f t="shared" si="27"/>
        <v/>
      </c>
      <c r="J302" s="53" t="str">
        <f t="shared" si="27"/>
        <v/>
      </c>
      <c r="K302" s="53" t="str">
        <f t="shared" si="27"/>
        <v/>
      </c>
      <c r="L302" s="53" t="str">
        <f t="shared" si="27"/>
        <v/>
      </c>
      <c r="M302" s="53" t="str">
        <f t="shared" si="27"/>
        <v/>
      </c>
    </row>
    <row r="303" spans="1:13" x14ac:dyDescent="0.25">
      <c r="A303" s="157" t="str">
        <f>IF('Salary Detail'!A37=0,"",'Salary Detail'!A37)</f>
        <v/>
      </c>
      <c r="B303" s="53" t="str">
        <f t="shared" ref="B303:M303" si="28">IF(SUM(B247,B192,B137,B82,B26)=0,"",SUM(B247,B192,B137,B82,B26))</f>
        <v/>
      </c>
      <c r="C303" s="53" t="str">
        <f t="shared" si="28"/>
        <v/>
      </c>
      <c r="D303" s="53" t="str">
        <f t="shared" si="28"/>
        <v/>
      </c>
      <c r="E303" s="53" t="str">
        <f t="shared" si="28"/>
        <v/>
      </c>
      <c r="F303" s="53" t="str">
        <f t="shared" si="28"/>
        <v/>
      </c>
      <c r="G303" s="53" t="str">
        <f t="shared" si="28"/>
        <v/>
      </c>
      <c r="H303" s="53" t="str">
        <f t="shared" si="28"/>
        <v/>
      </c>
      <c r="I303" s="53" t="str">
        <f t="shared" si="28"/>
        <v/>
      </c>
      <c r="J303" s="53" t="str">
        <f t="shared" si="28"/>
        <v/>
      </c>
      <c r="K303" s="53" t="str">
        <f t="shared" si="28"/>
        <v/>
      </c>
      <c r="L303" s="53" t="str">
        <f t="shared" si="28"/>
        <v/>
      </c>
      <c r="M303" s="53" t="str">
        <f t="shared" si="28"/>
        <v/>
      </c>
    </row>
    <row r="304" spans="1:13" x14ac:dyDescent="0.25">
      <c r="A304" s="157" t="str">
        <f>IF('Salary Detail'!A38=0,"",'Salary Detail'!A38)</f>
        <v/>
      </c>
      <c r="B304" s="53" t="str">
        <f t="shared" ref="B304:M304" si="29">IF(SUM(B248,B193,B138,B83,B27)=0,"",SUM(B248,B193,B138,B83,B27))</f>
        <v/>
      </c>
      <c r="C304" s="53" t="str">
        <f t="shared" si="29"/>
        <v/>
      </c>
      <c r="D304" s="53" t="str">
        <f t="shared" si="29"/>
        <v/>
      </c>
      <c r="E304" s="53" t="str">
        <f t="shared" si="29"/>
        <v/>
      </c>
      <c r="F304" s="53" t="str">
        <f t="shared" si="29"/>
        <v/>
      </c>
      <c r="G304" s="53" t="str">
        <f t="shared" si="29"/>
        <v/>
      </c>
      <c r="H304" s="53" t="str">
        <f t="shared" si="29"/>
        <v/>
      </c>
      <c r="I304" s="53" t="str">
        <f t="shared" si="29"/>
        <v/>
      </c>
      <c r="J304" s="53" t="str">
        <f t="shared" si="29"/>
        <v/>
      </c>
      <c r="K304" s="53" t="str">
        <f t="shared" si="29"/>
        <v/>
      </c>
      <c r="L304" s="53" t="str">
        <f t="shared" si="29"/>
        <v/>
      </c>
      <c r="M304" s="53" t="str">
        <f t="shared" si="29"/>
        <v/>
      </c>
    </row>
    <row r="305" spans="1:13" x14ac:dyDescent="0.25">
      <c r="A305" s="157" t="str">
        <f>IF('Salary Detail'!A39=0,"",'Salary Detail'!A39)</f>
        <v/>
      </c>
      <c r="B305" s="53" t="str">
        <f t="shared" ref="B305:M305" si="30">IF(SUM(B249,B194,B139,B84,B28)=0,"",SUM(B249,B194,B139,B84,B28))</f>
        <v/>
      </c>
      <c r="C305" s="53" t="str">
        <f t="shared" si="30"/>
        <v/>
      </c>
      <c r="D305" s="53" t="str">
        <f t="shared" si="30"/>
        <v/>
      </c>
      <c r="E305" s="53" t="str">
        <f t="shared" si="30"/>
        <v/>
      </c>
      <c r="F305" s="53" t="str">
        <f t="shared" si="30"/>
        <v/>
      </c>
      <c r="G305" s="53" t="str">
        <f t="shared" si="30"/>
        <v/>
      </c>
      <c r="H305" s="53" t="str">
        <f t="shared" si="30"/>
        <v/>
      </c>
      <c r="I305" s="53" t="str">
        <f t="shared" si="30"/>
        <v/>
      </c>
      <c r="J305" s="53" t="str">
        <f t="shared" si="30"/>
        <v/>
      </c>
      <c r="K305" s="53" t="str">
        <f t="shared" si="30"/>
        <v/>
      </c>
      <c r="L305" s="53" t="str">
        <f t="shared" si="30"/>
        <v/>
      </c>
      <c r="M305" s="53" t="str">
        <f t="shared" si="30"/>
        <v/>
      </c>
    </row>
    <row r="306" spans="1:13" x14ac:dyDescent="0.25">
      <c r="A306" s="157" t="str">
        <f>IF('Salary Detail'!A40=0,"",'Salary Detail'!A40)</f>
        <v/>
      </c>
      <c r="B306" s="53" t="str">
        <f t="shared" ref="B306:M306" si="31">IF(SUM(B250,B195,B140,B85,B29)=0,"",SUM(B250,B195,B140,B85,B29))</f>
        <v/>
      </c>
      <c r="C306" s="53" t="str">
        <f t="shared" si="31"/>
        <v/>
      </c>
      <c r="D306" s="53" t="str">
        <f t="shared" si="31"/>
        <v/>
      </c>
      <c r="E306" s="53" t="str">
        <f t="shared" si="31"/>
        <v/>
      </c>
      <c r="F306" s="53" t="str">
        <f t="shared" si="31"/>
        <v/>
      </c>
      <c r="G306" s="53" t="str">
        <f t="shared" si="31"/>
        <v/>
      </c>
      <c r="H306" s="53" t="str">
        <f t="shared" si="31"/>
        <v/>
      </c>
      <c r="I306" s="53" t="str">
        <f t="shared" si="31"/>
        <v/>
      </c>
      <c r="J306" s="53" t="str">
        <f t="shared" si="31"/>
        <v/>
      </c>
      <c r="K306" s="53" t="str">
        <f t="shared" si="31"/>
        <v/>
      </c>
      <c r="L306" s="53" t="str">
        <f t="shared" si="31"/>
        <v/>
      </c>
      <c r="M306" s="53" t="str">
        <f t="shared" si="31"/>
        <v/>
      </c>
    </row>
    <row r="307" spans="1:13" x14ac:dyDescent="0.25">
      <c r="A307" s="157" t="str">
        <f>IF('Salary Detail'!A41=0,"",'Salary Detail'!A41)</f>
        <v/>
      </c>
      <c r="B307" s="53" t="str">
        <f t="shared" ref="B307:M307" si="32">IF(SUM(B251,B196,B141,B86,B30)=0,"",SUM(B251,B196,B141,B86,B30))</f>
        <v/>
      </c>
      <c r="C307" s="53" t="str">
        <f t="shared" si="32"/>
        <v/>
      </c>
      <c r="D307" s="53" t="str">
        <f t="shared" si="32"/>
        <v/>
      </c>
      <c r="E307" s="53" t="str">
        <f t="shared" si="32"/>
        <v/>
      </c>
      <c r="F307" s="53" t="str">
        <f t="shared" si="32"/>
        <v/>
      </c>
      <c r="G307" s="53" t="str">
        <f t="shared" si="32"/>
        <v/>
      </c>
      <c r="H307" s="53" t="str">
        <f t="shared" si="32"/>
        <v/>
      </c>
      <c r="I307" s="53" t="str">
        <f t="shared" si="32"/>
        <v/>
      </c>
      <c r="J307" s="53" t="str">
        <f t="shared" si="32"/>
        <v/>
      </c>
      <c r="K307" s="53" t="str">
        <f t="shared" si="32"/>
        <v/>
      </c>
      <c r="L307" s="53" t="str">
        <f t="shared" si="32"/>
        <v/>
      </c>
      <c r="M307" s="53" t="str">
        <f t="shared" si="32"/>
        <v/>
      </c>
    </row>
    <row r="308" spans="1:13" x14ac:dyDescent="0.25">
      <c r="A308" s="157" t="str">
        <f>IF('Salary Detail'!A42=0,"",'Salary Detail'!A42)</f>
        <v/>
      </c>
      <c r="B308" s="53" t="str">
        <f t="shared" ref="B308:M308" si="33">IF(SUM(B252,B197,B142,B87,B31)=0,"",SUM(B252,B197,B142,B87,B31))</f>
        <v/>
      </c>
      <c r="C308" s="53" t="str">
        <f t="shared" si="33"/>
        <v/>
      </c>
      <c r="D308" s="53" t="str">
        <f t="shared" si="33"/>
        <v/>
      </c>
      <c r="E308" s="53" t="str">
        <f t="shared" si="33"/>
        <v/>
      </c>
      <c r="F308" s="53" t="str">
        <f t="shared" si="33"/>
        <v/>
      </c>
      <c r="G308" s="53" t="str">
        <f t="shared" si="33"/>
        <v/>
      </c>
      <c r="H308" s="53" t="str">
        <f t="shared" si="33"/>
        <v/>
      </c>
      <c r="I308" s="53" t="str">
        <f t="shared" si="33"/>
        <v/>
      </c>
      <c r="J308" s="53" t="str">
        <f t="shared" si="33"/>
        <v/>
      </c>
      <c r="K308" s="53" t="str">
        <f t="shared" si="33"/>
        <v/>
      </c>
      <c r="L308" s="53" t="str">
        <f t="shared" si="33"/>
        <v/>
      </c>
      <c r="M308" s="53" t="str">
        <f t="shared" si="33"/>
        <v/>
      </c>
    </row>
    <row r="309" spans="1:13" x14ac:dyDescent="0.25">
      <c r="A309" s="157" t="str">
        <f>IF('Salary Detail'!A43=0,"",'Salary Detail'!A43)</f>
        <v/>
      </c>
      <c r="B309" s="53" t="str">
        <f t="shared" ref="B309:M309" si="34">IF(SUM(B253,B198,B143,B88,B32)=0,"",SUM(B253,B198,B143,B88,B32))</f>
        <v/>
      </c>
      <c r="C309" s="53" t="str">
        <f t="shared" si="34"/>
        <v/>
      </c>
      <c r="D309" s="53" t="str">
        <f t="shared" si="34"/>
        <v/>
      </c>
      <c r="E309" s="53" t="str">
        <f t="shared" si="34"/>
        <v/>
      </c>
      <c r="F309" s="53" t="str">
        <f t="shared" si="34"/>
        <v/>
      </c>
      <c r="G309" s="53" t="str">
        <f t="shared" si="34"/>
        <v/>
      </c>
      <c r="H309" s="53" t="str">
        <f t="shared" si="34"/>
        <v/>
      </c>
      <c r="I309" s="53" t="str">
        <f t="shared" si="34"/>
        <v/>
      </c>
      <c r="J309" s="53" t="str">
        <f t="shared" si="34"/>
        <v/>
      </c>
      <c r="K309" s="53" t="str">
        <f t="shared" si="34"/>
        <v/>
      </c>
      <c r="L309" s="53" t="str">
        <f t="shared" si="34"/>
        <v/>
      </c>
      <c r="M309" s="53" t="str">
        <f t="shared" si="34"/>
        <v/>
      </c>
    </row>
    <row r="310" spans="1:13" x14ac:dyDescent="0.25">
      <c r="A310" s="157" t="str">
        <f>IF('Salary Detail'!A44=0,"",'Salary Detail'!A44)</f>
        <v/>
      </c>
      <c r="B310" s="53" t="str">
        <f t="shared" ref="B310:M310" si="35">IF(SUM(B254,B199,B144,B89,B33)=0,"",SUM(B254,B199,B144,B89,B33))</f>
        <v/>
      </c>
      <c r="C310" s="53" t="str">
        <f t="shared" si="35"/>
        <v/>
      </c>
      <c r="D310" s="53" t="str">
        <f t="shared" si="35"/>
        <v/>
      </c>
      <c r="E310" s="53" t="str">
        <f t="shared" si="35"/>
        <v/>
      </c>
      <c r="F310" s="53" t="str">
        <f t="shared" si="35"/>
        <v/>
      </c>
      <c r="G310" s="53" t="str">
        <f t="shared" si="35"/>
        <v/>
      </c>
      <c r="H310" s="53" t="str">
        <f t="shared" si="35"/>
        <v/>
      </c>
      <c r="I310" s="53" t="str">
        <f t="shared" si="35"/>
        <v/>
      </c>
      <c r="J310" s="53" t="str">
        <f t="shared" si="35"/>
        <v/>
      </c>
      <c r="K310" s="53" t="str">
        <f t="shared" si="35"/>
        <v/>
      </c>
      <c r="L310" s="53" t="str">
        <f t="shared" si="35"/>
        <v/>
      </c>
      <c r="M310" s="53" t="str">
        <f t="shared" si="35"/>
        <v/>
      </c>
    </row>
    <row r="311" spans="1:13" x14ac:dyDescent="0.25">
      <c r="A311" s="157" t="str">
        <f>IF('Salary Detail'!A45=0,"",'Salary Detail'!A45)</f>
        <v/>
      </c>
      <c r="B311" s="53" t="str">
        <f t="shared" ref="B311:M311" si="36">IF(SUM(B255,B200,B145,B90,B34)=0,"",SUM(B255,B200,B145,B90,B34))</f>
        <v/>
      </c>
      <c r="C311" s="53" t="str">
        <f t="shared" si="36"/>
        <v/>
      </c>
      <c r="D311" s="53" t="str">
        <f t="shared" si="36"/>
        <v/>
      </c>
      <c r="E311" s="53" t="str">
        <f t="shared" si="36"/>
        <v/>
      </c>
      <c r="F311" s="53" t="str">
        <f t="shared" si="36"/>
        <v/>
      </c>
      <c r="G311" s="53" t="str">
        <f t="shared" si="36"/>
        <v/>
      </c>
      <c r="H311" s="53" t="str">
        <f t="shared" si="36"/>
        <v/>
      </c>
      <c r="I311" s="53" t="str">
        <f t="shared" si="36"/>
        <v/>
      </c>
      <c r="J311" s="53" t="str">
        <f t="shared" si="36"/>
        <v/>
      </c>
      <c r="K311" s="53" t="str">
        <f t="shared" si="36"/>
        <v/>
      </c>
      <c r="L311" s="53" t="str">
        <f t="shared" si="36"/>
        <v/>
      </c>
      <c r="M311" s="53" t="str">
        <f t="shared" si="36"/>
        <v/>
      </c>
    </row>
    <row r="312" spans="1:13" x14ac:dyDescent="0.25">
      <c r="A312" s="157" t="str">
        <f>IF('Salary Detail'!A46=0,"",'Salary Detail'!A46)</f>
        <v/>
      </c>
      <c r="B312" s="53" t="str">
        <f t="shared" ref="B312:M312" si="37">IF(SUM(B256,B201,B146,B91,B35)=0,"",SUM(B256,B201,B146,B91,B35))</f>
        <v/>
      </c>
      <c r="C312" s="53" t="str">
        <f t="shared" si="37"/>
        <v/>
      </c>
      <c r="D312" s="53" t="str">
        <f t="shared" si="37"/>
        <v/>
      </c>
      <c r="E312" s="53" t="str">
        <f t="shared" si="37"/>
        <v/>
      </c>
      <c r="F312" s="53" t="str">
        <f t="shared" si="37"/>
        <v/>
      </c>
      <c r="G312" s="53" t="str">
        <f t="shared" si="37"/>
        <v/>
      </c>
      <c r="H312" s="53" t="str">
        <f t="shared" si="37"/>
        <v/>
      </c>
      <c r="I312" s="53" t="str">
        <f t="shared" si="37"/>
        <v/>
      </c>
      <c r="J312" s="53" t="str">
        <f t="shared" si="37"/>
        <v/>
      </c>
      <c r="K312" s="53" t="str">
        <f t="shared" si="37"/>
        <v/>
      </c>
      <c r="L312" s="53" t="str">
        <f t="shared" si="37"/>
        <v/>
      </c>
      <c r="M312" s="53" t="str">
        <f t="shared" si="37"/>
        <v/>
      </c>
    </row>
    <row r="313" spans="1:13" x14ac:dyDescent="0.25">
      <c r="A313" s="157" t="str">
        <f>IF('Salary Detail'!A47=0,"",'Salary Detail'!A47)</f>
        <v/>
      </c>
      <c r="B313" s="53" t="str">
        <f t="shared" ref="B313:M313" si="38">IF(SUM(B257,B202,B147,B92,B36)=0,"",SUM(B257,B202,B147,B92,B36))</f>
        <v/>
      </c>
      <c r="C313" s="53" t="str">
        <f t="shared" si="38"/>
        <v/>
      </c>
      <c r="D313" s="53" t="str">
        <f t="shared" si="38"/>
        <v/>
      </c>
      <c r="E313" s="53" t="str">
        <f t="shared" si="38"/>
        <v/>
      </c>
      <c r="F313" s="53" t="str">
        <f t="shared" si="38"/>
        <v/>
      </c>
      <c r="G313" s="53" t="str">
        <f t="shared" si="38"/>
        <v/>
      </c>
      <c r="H313" s="53" t="str">
        <f t="shared" si="38"/>
        <v/>
      </c>
      <c r="I313" s="53" t="str">
        <f t="shared" si="38"/>
        <v/>
      </c>
      <c r="J313" s="53" t="str">
        <f t="shared" si="38"/>
        <v/>
      </c>
      <c r="K313" s="53" t="str">
        <f t="shared" si="38"/>
        <v/>
      </c>
      <c r="L313" s="53" t="str">
        <f t="shared" si="38"/>
        <v/>
      </c>
      <c r="M313" s="53" t="str">
        <f t="shared" si="38"/>
        <v/>
      </c>
    </row>
    <row r="314" spans="1:13" x14ac:dyDescent="0.25">
      <c r="A314" s="157" t="str">
        <f>IF('Salary Detail'!A48=0,"",'Salary Detail'!A48)</f>
        <v/>
      </c>
      <c r="B314" s="53" t="str">
        <f t="shared" ref="B314:M314" si="39">IF(SUM(B258,B203,B148,B93,B37)=0,"",SUM(B258,B203,B148,B93,B37))</f>
        <v/>
      </c>
      <c r="C314" s="53" t="str">
        <f t="shared" si="39"/>
        <v/>
      </c>
      <c r="D314" s="53" t="str">
        <f t="shared" si="39"/>
        <v/>
      </c>
      <c r="E314" s="53" t="str">
        <f t="shared" si="39"/>
        <v/>
      </c>
      <c r="F314" s="53" t="str">
        <f t="shared" si="39"/>
        <v/>
      </c>
      <c r="G314" s="53" t="str">
        <f t="shared" si="39"/>
        <v/>
      </c>
      <c r="H314" s="53" t="str">
        <f t="shared" si="39"/>
        <v/>
      </c>
      <c r="I314" s="53" t="str">
        <f t="shared" si="39"/>
        <v/>
      </c>
      <c r="J314" s="53" t="str">
        <f t="shared" si="39"/>
        <v/>
      </c>
      <c r="K314" s="53" t="str">
        <f t="shared" si="39"/>
        <v/>
      </c>
      <c r="L314" s="53" t="str">
        <f t="shared" si="39"/>
        <v/>
      </c>
      <c r="M314" s="53" t="str">
        <f t="shared" si="39"/>
        <v/>
      </c>
    </row>
    <row r="315" spans="1:13" x14ac:dyDescent="0.25">
      <c r="A315" s="157" t="str">
        <f>IF('Salary Detail'!A49=0,"",'Salary Detail'!A49)</f>
        <v/>
      </c>
      <c r="B315" s="53" t="str">
        <f t="shared" ref="B315:M315" si="40">IF(SUM(B259,B204,B149,B94,B38)=0,"",SUM(B259,B204,B149,B94,B38))</f>
        <v/>
      </c>
      <c r="C315" s="53" t="str">
        <f t="shared" si="40"/>
        <v/>
      </c>
      <c r="D315" s="53" t="str">
        <f t="shared" si="40"/>
        <v/>
      </c>
      <c r="E315" s="53" t="str">
        <f t="shared" si="40"/>
        <v/>
      </c>
      <c r="F315" s="53" t="str">
        <f t="shared" si="40"/>
        <v/>
      </c>
      <c r="G315" s="53" t="str">
        <f t="shared" si="40"/>
        <v/>
      </c>
      <c r="H315" s="53" t="str">
        <f t="shared" si="40"/>
        <v/>
      </c>
      <c r="I315" s="53" t="str">
        <f t="shared" si="40"/>
        <v/>
      </c>
      <c r="J315" s="53" t="str">
        <f t="shared" si="40"/>
        <v/>
      </c>
      <c r="K315" s="53" t="str">
        <f t="shared" si="40"/>
        <v/>
      </c>
      <c r="L315" s="53" t="str">
        <f t="shared" si="40"/>
        <v/>
      </c>
      <c r="M315" s="53" t="str">
        <f t="shared" si="40"/>
        <v/>
      </c>
    </row>
    <row r="316" spans="1:13" x14ac:dyDescent="0.25">
      <c r="A316" s="157" t="str">
        <f>IF('Salary Detail'!A50=0,"",'Salary Detail'!A50)</f>
        <v/>
      </c>
      <c r="B316" s="53" t="str">
        <f t="shared" ref="B316:M316" si="41">IF(SUM(B260,B205,B150,B95,B39)=0,"",SUM(B260,B205,B150,B95,B39))</f>
        <v/>
      </c>
      <c r="C316" s="53" t="str">
        <f t="shared" si="41"/>
        <v/>
      </c>
      <c r="D316" s="53" t="str">
        <f t="shared" si="41"/>
        <v/>
      </c>
      <c r="E316" s="53" t="str">
        <f t="shared" si="41"/>
        <v/>
      </c>
      <c r="F316" s="53" t="str">
        <f t="shared" si="41"/>
        <v/>
      </c>
      <c r="G316" s="53" t="str">
        <f t="shared" si="41"/>
        <v/>
      </c>
      <c r="H316" s="53" t="str">
        <f t="shared" si="41"/>
        <v/>
      </c>
      <c r="I316" s="53" t="str">
        <f t="shared" si="41"/>
        <v/>
      </c>
      <c r="J316" s="53" t="str">
        <f t="shared" si="41"/>
        <v/>
      </c>
      <c r="K316" s="53" t="str">
        <f t="shared" si="41"/>
        <v/>
      </c>
      <c r="L316" s="53" t="str">
        <f t="shared" si="41"/>
        <v/>
      </c>
      <c r="M316" s="53" t="str">
        <f t="shared" si="41"/>
        <v/>
      </c>
    </row>
    <row r="317" spans="1:13" x14ac:dyDescent="0.25">
      <c r="A317" s="157" t="str">
        <f>IF('Salary Detail'!A51=0,"",'Salary Detail'!A51)</f>
        <v/>
      </c>
      <c r="B317" s="53" t="str">
        <f t="shared" ref="B317:M317" si="42">IF(SUM(B261,B206,B151,B96,B40)=0,"",SUM(B261,B206,B151,B96,B40))</f>
        <v/>
      </c>
      <c r="C317" s="53" t="str">
        <f t="shared" si="42"/>
        <v/>
      </c>
      <c r="D317" s="53" t="str">
        <f t="shared" si="42"/>
        <v/>
      </c>
      <c r="E317" s="53" t="str">
        <f t="shared" si="42"/>
        <v/>
      </c>
      <c r="F317" s="53" t="str">
        <f t="shared" si="42"/>
        <v/>
      </c>
      <c r="G317" s="53" t="str">
        <f t="shared" si="42"/>
        <v/>
      </c>
      <c r="H317" s="53" t="str">
        <f t="shared" si="42"/>
        <v/>
      </c>
      <c r="I317" s="53" t="str">
        <f t="shared" si="42"/>
        <v/>
      </c>
      <c r="J317" s="53" t="str">
        <f t="shared" si="42"/>
        <v/>
      </c>
      <c r="K317" s="53" t="str">
        <f t="shared" si="42"/>
        <v/>
      </c>
      <c r="L317" s="53" t="str">
        <f t="shared" si="42"/>
        <v/>
      </c>
      <c r="M317" s="53" t="str">
        <f t="shared" si="42"/>
        <v/>
      </c>
    </row>
    <row r="318" spans="1:13" x14ac:dyDescent="0.25">
      <c r="A318" s="157" t="str">
        <f>IF('Salary Detail'!A52=0,"",'Salary Detail'!A52)</f>
        <v/>
      </c>
      <c r="B318" s="53" t="str">
        <f t="shared" ref="B318:M318" si="43">IF(SUM(B262,B207,B152,B97,B41)=0,"",SUM(B262,B207,B152,B97,B41))</f>
        <v/>
      </c>
      <c r="C318" s="53" t="str">
        <f t="shared" si="43"/>
        <v/>
      </c>
      <c r="D318" s="53" t="str">
        <f t="shared" si="43"/>
        <v/>
      </c>
      <c r="E318" s="53" t="str">
        <f t="shared" si="43"/>
        <v/>
      </c>
      <c r="F318" s="53" t="str">
        <f t="shared" si="43"/>
        <v/>
      </c>
      <c r="G318" s="53" t="str">
        <f t="shared" si="43"/>
        <v/>
      </c>
      <c r="H318" s="53" t="str">
        <f t="shared" si="43"/>
        <v/>
      </c>
      <c r="I318" s="53" t="str">
        <f t="shared" si="43"/>
        <v/>
      </c>
      <c r="J318" s="53" t="str">
        <f t="shared" si="43"/>
        <v/>
      </c>
      <c r="K318" s="53" t="str">
        <f t="shared" si="43"/>
        <v/>
      </c>
      <c r="L318" s="53" t="str">
        <f t="shared" si="43"/>
        <v/>
      </c>
      <c r="M318" s="53" t="str">
        <f t="shared" si="43"/>
        <v/>
      </c>
    </row>
    <row r="319" spans="1:13" x14ac:dyDescent="0.25">
      <c r="A319" s="157" t="str">
        <f>IF('Salary Detail'!A53=0,"",'Salary Detail'!A53)</f>
        <v/>
      </c>
      <c r="B319" s="53" t="str">
        <f t="shared" ref="B319:M319" si="44">IF(SUM(B263,B208,B153,B98,B42)=0,"",SUM(B263,B208,B153,B98,B42))</f>
        <v/>
      </c>
      <c r="C319" s="53" t="str">
        <f t="shared" si="44"/>
        <v/>
      </c>
      <c r="D319" s="53" t="str">
        <f t="shared" si="44"/>
        <v/>
      </c>
      <c r="E319" s="53" t="str">
        <f t="shared" si="44"/>
        <v/>
      </c>
      <c r="F319" s="53" t="str">
        <f t="shared" si="44"/>
        <v/>
      </c>
      <c r="G319" s="53" t="str">
        <f t="shared" si="44"/>
        <v/>
      </c>
      <c r="H319" s="53" t="str">
        <f t="shared" si="44"/>
        <v/>
      </c>
      <c r="I319" s="53" t="str">
        <f t="shared" si="44"/>
        <v/>
      </c>
      <c r="J319" s="53" t="str">
        <f t="shared" si="44"/>
        <v/>
      </c>
      <c r="K319" s="53" t="str">
        <f t="shared" si="44"/>
        <v/>
      </c>
      <c r="L319" s="53" t="str">
        <f t="shared" si="44"/>
        <v/>
      </c>
      <c r="M319" s="53" t="str">
        <f t="shared" si="44"/>
        <v/>
      </c>
    </row>
    <row r="320" spans="1:13" x14ac:dyDescent="0.25">
      <c r="A320" s="157" t="str">
        <f>IF('Salary Detail'!A54=0,"",'Salary Detail'!A54)</f>
        <v/>
      </c>
      <c r="B320" s="53" t="str">
        <f t="shared" ref="B320:M320" si="45">IF(SUM(B264,B209,B154,B99,B43)=0,"",SUM(B264,B209,B154,B99,B43))</f>
        <v/>
      </c>
      <c r="C320" s="53" t="str">
        <f t="shared" si="45"/>
        <v/>
      </c>
      <c r="D320" s="53" t="str">
        <f t="shared" si="45"/>
        <v/>
      </c>
      <c r="E320" s="53" t="str">
        <f t="shared" si="45"/>
        <v/>
      </c>
      <c r="F320" s="53" t="str">
        <f t="shared" si="45"/>
        <v/>
      </c>
      <c r="G320" s="53" t="str">
        <f t="shared" si="45"/>
        <v/>
      </c>
      <c r="H320" s="53" t="str">
        <f t="shared" si="45"/>
        <v/>
      </c>
      <c r="I320" s="53" t="str">
        <f t="shared" si="45"/>
        <v/>
      </c>
      <c r="J320" s="53" t="str">
        <f t="shared" si="45"/>
        <v/>
      </c>
      <c r="K320" s="53" t="str">
        <f t="shared" si="45"/>
        <v/>
      </c>
      <c r="L320" s="53" t="str">
        <f t="shared" si="45"/>
        <v/>
      </c>
      <c r="M320" s="53" t="str">
        <f t="shared" si="45"/>
        <v/>
      </c>
    </row>
    <row r="321" spans="1:13" x14ac:dyDescent="0.25">
      <c r="A321" s="157" t="str">
        <f>IF('Salary Detail'!A55=0,"",'Salary Detail'!A55)</f>
        <v/>
      </c>
      <c r="B321" s="53" t="str">
        <f t="shared" ref="B321:M321" si="46">IF(SUM(B265,B210,B155,B100,B44)=0,"",SUM(B265,B210,B155,B100,B44))</f>
        <v/>
      </c>
      <c r="C321" s="53" t="str">
        <f t="shared" si="46"/>
        <v/>
      </c>
      <c r="D321" s="53" t="str">
        <f t="shared" si="46"/>
        <v/>
      </c>
      <c r="E321" s="53" t="str">
        <f t="shared" si="46"/>
        <v/>
      </c>
      <c r="F321" s="53" t="str">
        <f t="shared" si="46"/>
        <v/>
      </c>
      <c r="G321" s="53" t="str">
        <f t="shared" si="46"/>
        <v/>
      </c>
      <c r="H321" s="53" t="str">
        <f t="shared" si="46"/>
        <v/>
      </c>
      <c r="I321" s="53" t="str">
        <f t="shared" si="46"/>
        <v/>
      </c>
      <c r="J321" s="53" t="str">
        <f t="shared" si="46"/>
        <v/>
      </c>
      <c r="K321" s="53" t="str">
        <f t="shared" si="46"/>
        <v/>
      </c>
      <c r="L321" s="53" t="str">
        <f t="shared" si="46"/>
        <v/>
      </c>
      <c r="M321" s="53" t="str">
        <f t="shared" si="46"/>
        <v/>
      </c>
    </row>
    <row r="322" spans="1:13" x14ac:dyDescent="0.25">
      <c r="A322" s="157" t="str">
        <f>IF('Salary Detail'!A56=0,"",'Salary Detail'!A56)</f>
        <v/>
      </c>
      <c r="B322" s="53" t="str">
        <f t="shared" ref="B322:M322" si="47">IF(SUM(B266,B211,B156,B101,B45)=0,"",SUM(B266,B211,B156,B101,B45))</f>
        <v/>
      </c>
      <c r="C322" s="53" t="str">
        <f t="shared" si="47"/>
        <v/>
      </c>
      <c r="D322" s="53" t="str">
        <f t="shared" si="47"/>
        <v/>
      </c>
      <c r="E322" s="53" t="str">
        <f t="shared" si="47"/>
        <v/>
      </c>
      <c r="F322" s="53" t="str">
        <f t="shared" si="47"/>
        <v/>
      </c>
      <c r="G322" s="53" t="str">
        <f t="shared" si="47"/>
        <v/>
      </c>
      <c r="H322" s="53" t="str">
        <f t="shared" si="47"/>
        <v/>
      </c>
      <c r="I322" s="53" t="str">
        <f t="shared" si="47"/>
        <v/>
      </c>
      <c r="J322" s="53" t="str">
        <f t="shared" si="47"/>
        <v/>
      </c>
      <c r="K322" s="53" t="str">
        <f t="shared" si="47"/>
        <v/>
      </c>
      <c r="L322" s="53" t="str">
        <f t="shared" si="47"/>
        <v/>
      </c>
      <c r="M322" s="53" t="str">
        <f t="shared" si="47"/>
        <v/>
      </c>
    </row>
    <row r="323" spans="1:13" x14ac:dyDescent="0.25">
      <c r="A323" s="157" t="str">
        <f>IF('Salary Detail'!A57=0,"",'Salary Detail'!A57)</f>
        <v/>
      </c>
      <c r="B323" s="53" t="str">
        <f t="shared" ref="B323:M323" si="48">IF(SUM(B267,B212,B157,B102,B46)=0,"",SUM(B267,B212,B157,B102,B46))</f>
        <v/>
      </c>
      <c r="C323" s="53" t="str">
        <f t="shared" si="48"/>
        <v/>
      </c>
      <c r="D323" s="53" t="str">
        <f t="shared" si="48"/>
        <v/>
      </c>
      <c r="E323" s="53" t="str">
        <f t="shared" si="48"/>
        <v/>
      </c>
      <c r="F323" s="53" t="str">
        <f t="shared" si="48"/>
        <v/>
      </c>
      <c r="G323" s="53" t="str">
        <f t="shared" si="48"/>
        <v/>
      </c>
      <c r="H323" s="53" t="str">
        <f t="shared" si="48"/>
        <v/>
      </c>
      <c r="I323" s="53" t="str">
        <f t="shared" si="48"/>
        <v/>
      </c>
      <c r="J323" s="53" t="str">
        <f t="shared" si="48"/>
        <v/>
      </c>
      <c r="K323" s="53" t="str">
        <f t="shared" si="48"/>
        <v/>
      </c>
      <c r="L323" s="53" t="str">
        <f t="shared" si="48"/>
        <v/>
      </c>
      <c r="M323" s="53" t="str">
        <f t="shared" si="48"/>
        <v/>
      </c>
    </row>
    <row r="324" spans="1:13" x14ac:dyDescent="0.25">
      <c r="A324" s="157" t="str">
        <f>IF('Salary Detail'!A58=0,"",'Salary Detail'!A58)</f>
        <v/>
      </c>
      <c r="B324" s="53" t="str">
        <f t="shared" ref="B324:M324" si="49">IF(SUM(B268,B213,B158,B103,B47)=0,"",SUM(B268,B213,B158,B103,B47))</f>
        <v/>
      </c>
      <c r="C324" s="53" t="str">
        <f t="shared" si="49"/>
        <v/>
      </c>
      <c r="D324" s="53" t="str">
        <f t="shared" si="49"/>
        <v/>
      </c>
      <c r="E324" s="53" t="str">
        <f t="shared" si="49"/>
        <v/>
      </c>
      <c r="F324" s="53" t="str">
        <f t="shared" si="49"/>
        <v/>
      </c>
      <c r="G324" s="53" t="str">
        <f t="shared" si="49"/>
        <v/>
      </c>
      <c r="H324" s="53" t="str">
        <f t="shared" si="49"/>
        <v/>
      </c>
      <c r="I324" s="53" t="str">
        <f t="shared" si="49"/>
        <v/>
      </c>
      <c r="J324" s="53" t="str">
        <f t="shared" si="49"/>
        <v/>
      </c>
      <c r="K324" s="53" t="str">
        <f t="shared" si="49"/>
        <v/>
      </c>
      <c r="L324" s="53" t="str">
        <f t="shared" si="49"/>
        <v/>
      </c>
      <c r="M324" s="53" t="str">
        <f t="shared" si="49"/>
        <v/>
      </c>
    </row>
    <row r="325" spans="1:13" x14ac:dyDescent="0.25">
      <c r="A325" s="157" t="str">
        <f>IF('Salary Detail'!A59=0,"",'Salary Detail'!A59)</f>
        <v/>
      </c>
      <c r="B325" s="53" t="str">
        <f t="shared" ref="B325:M325" si="50">IF(SUM(B269,B214,B159,B104,B48)=0,"",SUM(B269,B214,B159,B104,B48))</f>
        <v/>
      </c>
      <c r="C325" s="53" t="str">
        <f t="shared" si="50"/>
        <v/>
      </c>
      <c r="D325" s="53" t="str">
        <f t="shared" si="50"/>
        <v/>
      </c>
      <c r="E325" s="53" t="str">
        <f t="shared" si="50"/>
        <v/>
      </c>
      <c r="F325" s="53" t="str">
        <f t="shared" si="50"/>
        <v/>
      </c>
      <c r="G325" s="53" t="str">
        <f t="shared" si="50"/>
        <v/>
      </c>
      <c r="H325" s="53" t="str">
        <f t="shared" si="50"/>
        <v/>
      </c>
      <c r="I325" s="53" t="str">
        <f t="shared" si="50"/>
        <v/>
      </c>
      <c r="J325" s="53" t="str">
        <f t="shared" si="50"/>
        <v/>
      </c>
      <c r="K325" s="53" t="str">
        <f t="shared" si="50"/>
        <v/>
      </c>
      <c r="L325" s="53" t="str">
        <f t="shared" si="50"/>
        <v/>
      </c>
      <c r="M325" s="53" t="str">
        <f t="shared" si="50"/>
        <v/>
      </c>
    </row>
    <row r="326" spans="1:13" x14ac:dyDescent="0.25">
      <c r="A326" s="157" t="str">
        <f>IF('Salary Detail'!A60=0,"",'Salary Detail'!A60)</f>
        <v/>
      </c>
      <c r="B326" s="53" t="str">
        <f t="shared" ref="B326:M326" si="51">IF(SUM(B270,B215,B160,B105,B49)=0,"",SUM(B270,B215,B160,B105,B49))</f>
        <v/>
      </c>
      <c r="C326" s="53" t="str">
        <f t="shared" si="51"/>
        <v/>
      </c>
      <c r="D326" s="53" t="str">
        <f t="shared" si="51"/>
        <v/>
      </c>
      <c r="E326" s="53" t="str">
        <f t="shared" si="51"/>
        <v/>
      </c>
      <c r="F326" s="53" t="str">
        <f t="shared" si="51"/>
        <v/>
      </c>
      <c r="G326" s="53" t="str">
        <f t="shared" si="51"/>
        <v/>
      </c>
      <c r="H326" s="53" t="str">
        <f t="shared" si="51"/>
        <v/>
      </c>
      <c r="I326" s="53" t="str">
        <f t="shared" si="51"/>
        <v/>
      </c>
      <c r="J326" s="53" t="str">
        <f t="shared" si="51"/>
        <v/>
      </c>
      <c r="K326" s="53" t="str">
        <f t="shared" si="51"/>
        <v/>
      </c>
      <c r="L326" s="53" t="str">
        <f t="shared" si="51"/>
        <v/>
      </c>
      <c r="M326" s="53" t="str">
        <f t="shared" si="51"/>
        <v/>
      </c>
    </row>
    <row r="327" spans="1:13" x14ac:dyDescent="0.25">
      <c r="A327" s="157" t="str">
        <f>IF('Salary Detail'!A61=0,"",'Salary Detail'!A61)</f>
        <v/>
      </c>
      <c r="B327" s="53" t="str">
        <f t="shared" ref="B327:M327" si="52">IF(SUM(B271,B216,B161,B106,B50)=0,"",SUM(B271,B216,B161,B106,B50))</f>
        <v/>
      </c>
      <c r="C327" s="53" t="str">
        <f t="shared" si="52"/>
        <v/>
      </c>
      <c r="D327" s="53" t="str">
        <f t="shared" si="52"/>
        <v/>
      </c>
      <c r="E327" s="53" t="str">
        <f t="shared" si="52"/>
        <v/>
      </c>
      <c r="F327" s="53" t="str">
        <f t="shared" si="52"/>
        <v/>
      </c>
      <c r="G327" s="53" t="str">
        <f t="shared" si="52"/>
        <v/>
      </c>
      <c r="H327" s="53" t="str">
        <f t="shared" si="52"/>
        <v/>
      </c>
      <c r="I327" s="53" t="str">
        <f t="shared" si="52"/>
        <v/>
      </c>
      <c r="J327" s="53" t="str">
        <f t="shared" si="52"/>
        <v/>
      </c>
      <c r="K327" s="53" t="str">
        <f t="shared" si="52"/>
        <v/>
      </c>
      <c r="L327" s="53" t="str">
        <f t="shared" si="52"/>
        <v/>
      </c>
      <c r="M327" s="53" t="str">
        <f t="shared" si="52"/>
        <v/>
      </c>
    </row>
    <row r="328" spans="1:13" x14ac:dyDescent="0.25">
      <c r="A328" s="157" t="str">
        <f>IF('Salary Detail'!A62=0,"",'Salary Detail'!A62)</f>
        <v/>
      </c>
      <c r="B328" s="53" t="str">
        <f t="shared" ref="B328:M328" si="53">IF(SUM(B272,B217,B162,B107,B51)=0,"",SUM(B272,B217,B162,B107,B51))</f>
        <v/>
      </c>
      <c r="C328" s="53" t="str">
        <f t="shared" si="53"/>
        <v/>
      </c>
      <c r="D328" s="53" t="str">
        <f t="shared" si="53"/>
        <v/>
      </c>
      <c r="E328" s="53" t="str">
        <f t="shared" si="53"/>
        <v/>
      </c>
      <c r="F328" s="53" t="str">
        <f t="shared" si="53"/>
        <v/>
      </c>
      <c r="G328" s="53" t="str">
        <f t="shared" si="53"/>
        <v/>
      </c>
      <c r="H328" s="53" t="str">
        <f t="shared" si="53"/>
        <v/>
      </c>
      <c r="I328" s="53" t="str">
        <f t="shared" si="53"/>
        <v/>
      </c>
      <c r="J328" s="53" t="str">
        <f t="shared" si="53"/>
        <v/>
      </c>
      <c r="K328" s="53" t="str">
        <f t="shared" si="53"/>
        <v/>
      </c>
      <c r="L328" s="53" t="str">
        <f t="shared" si="53"/>
        <v/>
      </c>
      <c r="M328" s="53" t="str">
        <f t="shared" si="53"/>
        <v/>
      </c>
    </row>
    <row r="329" spans="1:13" ht="13" thickBot="1" x14ac:dyDescent="0.3">
      <c r="A329" s="158" t="str">
        <f>IF('Salary Detail'!A63=0,"",'Salary Detail'!A63)</f>
        <v/>
      </c>
      <c r="B329" s="53" t="str">
        <f t="shared" ref="B329:M329" si="54">IF(SUM(B273,B218,B163,B108,B52)=0,"",SUM(B273,B218,B163,B108,B52))</f>
        <v/>
      </c>
      <c r="C329" s="53" t="str">
        <f t="shared" si="54"/>
        <v/>
      </c>
      <c r="D329" s="53" t="str">
        <f t="shared" si="54"/>
        <v/>
      </c>
      <c r="E329" s="53" t="str">
        <f t="shared" si="54"/>
        <v/>
      </c>
      <c r="F329" s="53" t="str">
        <f t="shared" si="54"/>
        <v/>
      </c>
      <c r="G329" s="53" t="str">
        <f t="shared" si="54"/>
        <v/>
      </c>
      <c r="H329" s="53" t="str">
        <f t="shared" si="54"/>
        <v/>
      </c>
      <c r="I329" s="53" t="str">
        <f t="shared" si="54"/>
        <v/>
      </c>
      <c r="J329" s="53" t="str">
        <f t="shared" si="54"/>
        <v/>
      </c>
      <c r="K329" s="53" t="str">
        <f t="shared" si="54"/>
        <v/>
      </c>
      <c r="L329" s="53" t="str">
        <f t="shared" si="54"/>
        <v/>
      </c>
      <c r="M329" s="53" t="str">
        <f t="shared" si="54"/>
        <v/>
      </c>
    </row>
    <row r="330" spans="1:13" ht="13.5" thickBot="1" x14ac:dyDescent="0.35">
      <c r="A330" s="356" t="s">
        <v>256</v>
      </c>
      <c r="B330" s="73">
        <f t="shared" ref="B330:K330" si="55">SUM(B290:B329)</f>
        <v>0</v>
      </c>
      <c r="C330" s="73">
        <f t="shared" si="55"/>
        <v>0</v>
      </c>
      <c r="D330" s="73">
        <f t="shared" si="55"/>
        <v>0</v>
      </c>
      <c r="E330" s="73">
        <f t="shared" si="55"/>
        <v>0</v>
      </c>
      <c r="F330" s="73">
        <f t="shared" si="55"/>
        <v>0</v>
      </c>
      <c r="G330" s="73">
        <f t="shared" si="55"/>
        <v>0</v>
      </c>
      <c r="H330" s="73">
        <f t="shared" si="55"/>
        <v>0</v>
      </c>
      <c r="I330" s="76">
        <f t="shared" si="55"/>
        <v>0</v>
      </c>
      <c r="J330" s="73">
        <f t="shared" si="55"/>
        <v>0</v>
      </c>
      <c r="K330" s="73">
        <f t="shared" si="55"/>
        <v>0</v>
      </c>
      <c r="L330" s="355"/>
      <c r="M330" s="357"/>
    </row>
    <row r="331" spans="1:13" ht="13" x14ac:dyDescent="0.3">
      <c r="A331" s="361"/>
      <c r="B331" s="358"/>
      <c r="C331" s="358"/>
      <c r="D331" s="358"/>
      <c r="E331" s="358"/>
      <c r="F331" s="358"/>
      <c r="G331" s="358"/>
      <c r="H331" s="358"/>
      <c r="I331" s="358"/>
      <c r="J331" s="358"/>
      <c r="K331" s="358"/>
      <c r="L331" s="362" t="s">
        <v>255</v>
      </c>
      <c r="M331" s="359">
        <f>SUM(B330:K330)</f>
        <v>0</v>
      </c>
    </row>
    <row r="332" spans="1:13" x14ac:dyDescent="0.25">
      <c r="A332" s="57" t="s">
        <v>257</v>
      </c>
      <c r="B332" s="51">
        <f>SUMIF('Salary Detail'!$P$24:$P$63,"f",'Salary Detail'!$M$24:$M$63)+SUMIF('Salary Detail'!$P$24:$P$63,"f",'Salary Detail'!$E$79:$E$118)+SUMIF('Salary Detail'!$P$24:$P$63,"f",'Salary Detail'!$M$79:$M$118)+SUMIF('Salary Detail'!$P$24:$P$63,"f",'Salary Detail'!$E$133:$E$172)+SUMIF('Salary Detail'!$P$24:$P$63,"f",'Salary Detail'!$M$133:$M$172)+SUMIF('Salary Detail'!$P$24:$P$63,"f",'Salary Detail'!$E$189:$E$228)+SUMIF('Salary Detail'!$P$24:$P$63,"f",'Salary Detail'!$M$189:$M$228)+SUMIF('Salary Detail'!$P$24:$P$63,"f",'Salary Detail'!$E$243:$E$282)+SUMIF('Salary Detail'!$P$24:$P$63,"f",'Salary Detail'!$M$243:$M$282)+SUMIF('Salary Detail'!$P$24:$P$63,"f",'Salary Detail'!$E$297:$E$336)</f>
        <v>0</v>
      </c>
      <c r="C332" s="51">
        <f>SUMIF('Salary Detail'!$P$24:$P$63,"o",'Salary Detail'!$M$24:$M$63)+SUMIF('Salary Detail'!$P$24:$P$63,"o",'Salary Detail'!$E$79:$E$118)+SUMIF('Salary Detail'!$P$24:$P$63,"o",'Salary Detail'!$M$79:$M$118)+SUMIF('Salary Detail'!$P$24:$P$63,"o",'Salary Detail'!$E$133:$E$172)+SUMIF('Salary Detail'!$P$24:$P$63,"o",'Salary Detail'!$M$133:$M$172)+SUMIF('Salary Detail'!$P$24:$P$63,"o",'Salary Detail'!$E$189:$E$228)+SUMIF('Salary Detail'!$P$24:$P$63,"o",'Salary Detail'!$M$189:$M$228)+SUMIF('Salary Detail'!$P$24:$P$63,"o",'Salary Detail'!$E$243:$E$282)+SUMIF('Salary Detail'!$P$24:$P$63,"o",'Salary Detail'!$M$243:$M$282)+SUMIF('Salary Detail'!$P$24:$P$63,"o",'Salary Detail'!$E$297:$E$336)</f>
        <v>0</v>
      </c>
      <c r="D332" s="51">
        <f>SUMIF('Salary Detail'!$P$24:$P$63,"l",'Salary Detail'!$M$24:$M$63)+SUMIF('Salary Detail'!$P$24:$P$63,"l",'Salary Detail'!$E$79:$E$118)+SUMIF('Salary Detail'!$P$24:$P$63,"l",'Salary Detail'!$M$79:$M$118)+SUMIF('Salary Detail'!$P$24:$P$63,"l",'Salary Detail'!$E$133:$E$172)+SUMIF('Salary Detail'!$P$24:$P$63,"l",'Salary Detail'!$M$133:$M$172)+SUMIF('Salary Detail'!$P$24:$P$63,"l",'Salary Detail'!$E$189:$E$228)+SUMIF('Salary Detail'!$P$24:$P$63,"l",'Salary Detail'!$M$189:$M$228)+SUMIF('Salary Detail'!$P$24:$P$63,"l",'Salary Detail'!$E$243:$E$282)+SUMIF('Salary Detail'!$P$24:$P$63,"l",'Salary Detail'!$M$243:$M$282)+SUMIF('Salary Detail'!$P$24:$P$63,"l",'Salary Detail'!$E$297:$E$336)</f>
        <v>0</v>
      </c>
      <c r="E332" s="51">
        <f>SUMIF('Salary Detail'!$P$24:$P$63,"a",'Salary Detail'!$M$24:$M$63)+SUMIF('Salary Detail'!$P$24:$P$63,"a",'Salary Detail'!$E$79:$E$118)+SUMIF('Salary Detail'!$P$24:$P$63,"a",'Salary Detail'!$M$79:$M$118)+SUMIF('Salary Detail'!$P$24:$P$63,"a",'Salary Detail'!$E$133:$E$172)+SUMIF('Salary Detail'!$P$24:$P$63,"a",'Salary Detail'!$M$133:$M$172)+SUMIF('Salary Detail'!$P$24:$P$63,"a",'Salary Detail'!$E$189:$E$228)+SUMIF('Salary Detail'!$P$24:$P$63,"a",'Salary Detail'!$M$189:$M$228)+SUMIF('Salary Detail'!$P$24:$P$63,"a",'Salary Detail'!$E$243:$E$282)+SUMIF('Salary Detail'!$P$24:$P$63,"a",'Salary Detail'!$M$243:$M$282)+SUMIF('Salary Detail'!$P$24:$P$63,"a",'Salary Detail'!$E$297:$E$336)</f>
        <v>0</v>
      </c>
      <c r="F332" s="51">
        <f>SUMIF('Salary Detail'!$P$24:$P$63,"t",'Salary Detail'!$M$24:$M$63)+SUMIF('Salary Detail'!$P$24:$P$63,"t",'Salary Detail'!$E$79:$E$118)+SUMIF('Salary Detail'!$P$24:$P$63,"t",'Salary Detail'!$M$79:$M$118)+SUMIF('Salary Detail'!$P$24:$P$63,"t",'Salary Detail'!$E$133:$E$172)+SUMIF('Salary Detail'!$P$24:$P$63,"t",'Salary Detail'!$M$133:$M$172)+SUMIF('Salary Detail'!$P$24:$P$63,"t",'Salary Detail'!$E$189:$E$228)+SUMIF('Salary Detail'!$P$24:$P$63,"t",'Salary Detail'!$M$189:$M$228)+SUMIF('Salary Detail'!$P$24:$P$63,"t",'Salary Detail'!$E$243:$E$282)+SUMIF('Salary Detail'!$P$24:$P$63,"t",'Salary Detail'!$M$243:$M$282)+SUMIF('Salary Detail'!$P$24:$P$63,"t",'Salary Detail'!$E$297:$E$336)</f>
        <v>0</v>
      </c>
      <c r="G332" s="51">
        <f>SUMIF('Salary Detail'!$P$24:$P$63,"p",'Salary Detail'!$M$24:$M$63)+SUMIF('Salary Detail'!$P$24:$P$63,"p",'Salary Detail'!$E$79:$E$118)+SUMIF('Salary Detail'!$P$24:$P$63,"p",'Salary Detail'!$M$79:$M$118)+SUMIF('Salary Detail'!$P$24:$P$63,"p",'Salary Detail'!$E$133:$E$172)+SUMIF('Salary Detail'!$P$24:$P$63,"p",'Salary Detail'!$M$133:$M$172)+SUMIF('Salary Detail'!$P$24:$P$63,"p",'Salary Detail'!$E$189:$E$228)+SUMIF('Salary Detail'!$P$24:$P$63,"p",'Salary Detail'!$M$189:$M$228)+SUMIF('Salary Detail'!$P$24:$P$63,"p",'Salary Detail'!$E$243:$E$282)+SUMIF('Salary Detail'!$P$24:$P$63,"p",'Salary Detail'!$M$243:$M$282)+SUMIF('Salary Detail'!$P$24:$P$63,"p",'Salary Detail'!$E$297:$E$336)</f>
        <v>0</v>
      </c>
      <c r="H332" s="51">
        <f>SUMIF('Salary Detail'!$P$24:$P$63,"r",'Salary Detail'!$M$24:$M$63)+SUMIF('Salary Detail'!$P$24:$P$63,"r",'Salary Detail'!$E$79:$E$118)+SUMIF('Salary Detail'!$P$24:$P$63,"r",'Salary Detail'!$M$79:$M$118)+SUMIF('Salary Detail'!$P$24:$P$63,"r",'Salary Detail'!$E$133:$E$172)+SUMIF('Salary Detail'!$P$24:$P$63,"r",'Salary Detail'!$M$133:$M$172)+SUMIF('Salary Detail'!$P$24:$P$63,"r",'Salary Detail'!$E$189:$E$228)+SUMIF('Salary Detail'!$P$24:$P$63,"r",'Salary Detail'!$M$189:$M$228)+SUMIF('Salary Detail'!$P$24:$P$63,"r",'Salary Detail'!$E$243:$E$282)+SUMIF('Salary Detail'!$P$24:$P$63,"r",'Salary Detail'!$M$243:$M$282)+SUMIF('Salary Detail'!$P$24:$P$63,"r",'Salary Detail'!$E$297:$E$336)</f>
        <v>0</v>
      </c>
      <c r="I332" s="51">
        <f>SUMIF('Salary Detail'!$P$24:$P$63,"s",'Salary Detail'!$M$24:$M$63)+SUMIF('Salary Detail'!$P$24:$P$63,"s",'Salary Detail'!$E$79:$E$118)+SUMIF('Salary Detail'!$P$24:$P$63,"s",'Salary Detail'!$M$79:$M$118)+SUMIF('Salary Detail'!$P$24:$P$63,"s",'Salary Detail'!$E$133:$E$172)+SUMIF('Salary Detail'!$P$24:$P$63,"s",'Salary Detail'!$M$133:$M$172)+SUMIF('Salary Detail'!$P$24:$P$63,"s",'Salary Detail'!$E$189:$E$228)+SUMIF('Salary Detail'!$P$24:$P$63,"s",'Salary Detail'!$M$189:$M$228)+SUMIF('Salary Detail'!$P$24:$P$63,"s",'Salary Detail'!$E$243:$E$282)+SUMIF('Salary Detail'!$P$24:$P$63,"s",'Salary Detail'!$M$243:$M$282)+SUMIF('Salary Detail'!$P$24:$P$63,"s",'Salary Detail'!$E$297:$E$336)</f>
        <v>0</v>
      </c>
      <c r="J332" s="51">
        <f>SUMIF('Salary Detail'!$P$24:$P$63,"w",'Salary Detail'!$M$24:$M$63)+SUMIF('Salary Detail'!$P$24:$P$63,"w",'Salary Detail'!$E$79:$E$118)+SUMIF('Salary Detail'!$P$24:$P$63,"w",'Salary Detail'!$M$79:$M$118)+SUMIF('Salary Detail'!$P$24:$P$63,"w",'Salary Detail'!$E$133:$E$172)+SUMIF('Salary Detail'!$P$24:$P$63,"w",'Salary Detail'!$M$133:$M$172)+SUMIF('Salary Detail'!$P$24:$P$63,"w",'Salary Detail'!$E$189:$E$228)+SUMIF('Salary Detail'!$P$24:$P$63,"w",'Salary Detail'!$M$189:$M$228)+SUMIF('Salary Detail'!$P$24:$P$63,"w",'Salary Detail'!$E$243:$E$282)+SUMIF('Salary Detail'!$P$24:$P$63,"w",'Salary Detail'!$M$243:$M$282)+SUMIF('Salary Detail'!$P$24:$P$63,"w",'Salary Detail'!$E$297:$E$336)</f>
        <v>0</v>
      </c>
      <c r="K332" s="51">
        <f>SUMIF('Salary Detail'!$P$24:$P$63,"g",'Salary Detail'!$M$24:$M$63)+SUMIF('Salary Detail'!$P$24:$P$63,"g",'Salary Detail'!$E$79:$E$118)+SUMIF('Salary Detail'!$P$24:$P$63,"g",'Salary Detail'!$M$79:$M$118)+SUMIF('Salary Detail'!$P$24:$P$63,"g",'Salary Detail'!$E$133:$E$172)+SUMIF('Salary Detail'!$P$24:$P$63,"g",'Salary Detail'!$M$133:$M$172)+SUMIF('Salary Detail'!$P$24:$P$63,"g",'Salary Detail'!$E$189:$E$228)+SUMIF('Salary Detail'!$P$24:$P$63,"g",'Salary Detail'!$M$189:$M$228)+SUMIF('Salary Detail'!$P$24:$P$63,"g",'Salary Detail'!$E$243:$E$282)+SUMIF('Salary Detail'!$P$24:$P$63,"g",'Salary Detail'!$M$243:$M$282)+SUMIF('Salary Detail'!$P$24:$P$63,"g",'Salary Detail'!$E$297:$E$336)</f>
        <v>0</v>
      </c>
      <c r="L332" s="368"/>
      <c r="M332" s="368"/>
    </row>
    <row r="333" spans="1:13" ht="13" x14ac:dyDescent="0.3">
      <c r="A333" s="365"/>
      <c r="B333" s="366"/>
      <c r="C333" s="366"/>
      <c r="D333" s="366"/>
      <c r="E333" s="366"/>
      <c r="F333" s="366"/>
      <c r="G333" s="366"/>
      <c r="H333" s="366"/>
      <c r="I333" s="367"/>
      <c r="J333" s="366"/>
      <c r="K333" s="366"/>
      <c r="L333" s="363" t="s">
        <v>259</v>
      </c>
      <c r="M333" s="359">
        <f>SUM(B332:K332)</f>
        <v>0</v>
      </c>
    </row>
    <row r="334" spans="1:13" ht="13.5" thickBot="1" x14ac:dyDescent="0.35">
      <c r="A334" s="370" t="s">
        <v>262</v>
      </c>
      <c r="B334" s="154">
        <f t="shared" ref="B334:K334" si="56">B330+B332</f>
        <v>0</v>
      </c>
      <c r="C334" s="154">
        <f t="shared" si="56"/>
        <v>0</v>
      </c>
      <c r="D334" s="154">
        <f t="shared" si="56"/>
        <v>0</v>
      </c>
      <c r="E334" s="154">
        <f t="shared" si="56"/>
        <v>0</v>
      </c>
      <c r="F334" s="154">
        <f t="shared" si="56"/>
        <v>0</v>
      </c>
      <c r="G334" s="154">
        <f t="shared" si="56"/>
        <v>0</v>
      </c>
      <c r="H334" s="154">
        <f t="shared" si="56"/>
        <v>0</v>
      </c>
      <c r="I334" s="155">
        <f t="shared" si="56"/>
        <v>0</v>
      </c>
      <c r="J334" s="154">
        <f t="shared" si="56"/>
        <v>0</v>
      </c>
      <c r="K334" s="154">
        <f t="shared" si="56"/>
        <v>0</v>
      </c>
      <c r="L334" s="364" t="s">
        <v>260</v>
      </c>
      <c r="M334" s="359">
        <f>SUM(B334:K334)</f>
        <v>0</v>
      </c>
    </row>
    <row r="335" spans="1:13" x14ac:dyDescent="0.2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x14ac:dyDescent="0.25">
      <c r="A336" s="29"/>
      <c r="M336" s="8"/>
    </row>
    <row r="338" spans="1:1" ht="13" x14ac:dyDescent="0.3">
      <c r="A338" s="360" t="s">
        <v>254</v>
      </c>
    </row>
    <row r="347" spans="1:1" x14ac:dyDescent="0.25">
      <c r="A347" s="4" t="s">
        <v>76</v>
      </c>
    </row>
    <row r="348" spans="1:1" x14ac:dyDescent="0.25">
      <c r="A348" s="4" t="s">
        <v>62</v>
      </c>
    </row>
  </sheetData>
  <sheetProtection algorithmName="SHA-512" hashValue="jXi6d+nsSqjGmN4CuKpNJLygTTDyEMkWlsv5iu1wH82pNqIis0vklp7IDy8aP7t7vMPBoovKdhcoda6tGVRRgw==" saltValue="15p0EMjO08sDfqbp73mgGw==" spinCount="100000" sheet="1" objects="1" scenarios="1"/>
  <mergeCells count="31">
    <mergeCell ref="A1:M2"/>
    <mergeCell ref="F284:I284"/>
    <mergeCell ref="F285:I285"/>
    <mergeCell ref="F286:I286"/>
    <mergeCell ref="F6:I6"/>
    <mergeCell ref="A280:M280"/>
    <mergeCell ref="A281:M281"/>
    <mergeCell ref="F283:I283"/>
    <mergeCell ref="A224:M224"/>
    <mergeCell ref="F227:I227"/>
    <mergeCell ref="A169:M169"/>
    <mergeCell ref="F172:I172"/>
    <mergeCell ref="F62:I62"/>
    <mergeCell ref="A59:M59"/>
    <mergeCell ref="A114:M114"/>
    <mergeCell ref="F117:I117"/>
    <mergeCell ref="F7:I7"/>
    <mergeCell ref="F8:I8"/>
    <mergeCell ref="F9:I9"/>
    <mergeCell ref="F63:I63"/>
    <mergeCell ref="F64:I64"/>
    <mergeCell ref="F65:I65"/>
    <mergeCell ref="F118:I118"/>
    <mergeCell ref="F119:I119"/>
    <mergeCell ref="F120:I120"/>
    <mergeCell ref="F173:I173"/>
    <mergeCell ref="F174:I174"/>
    <mergeCell ref="F175:I175"/>
    <mergeCell ref="F228:I228"/>
    <mergeCell ref="F229:I229"/>
    <mergeCell ref="F230:I230"/>
  </mergeCells>
  <phoneticPr fontId="0" type="noConversion"/>
  <pageMargins left="0.5" right="0.5" top="0.35" bottom="0.42" header="0.38" footer="0.45"/>
  <pageSetup scale="52" firstPageNumber="4" orientation="portrait" useFirstPageNumber="1" horizontalDpi="4294967292" r:id="rId1"/>
  <headerFooter alignWithMargins="0">
    <oddFooter>&amp;L&amp;8HSC Pre-Award Administration&amp;C&amp;8&amp;F, Page &amp;P&amp;R&amp;8&amp;D</oddFooter>
  </headerFooter>
  <rowBreaks count="2" manualBreakCount="2">
    <brk id="112" max="16383" man="1"/>
    <brk id="22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B00CE-04DF-4BEC-A76F-E6D54FFB76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CA9E0E9-8B00-4558-80EB-C224C1A6426C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0C82A16-94B0-4C24-9AFD-AA75BA8AEC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195</vt:i4>
      </vt:variant>
    </vt:vector>
  </HeadingPairs>
  <TitlesOfParts>
    <vt:vector size="202" baseType="lpstr">
      <vt:lpstr>Message</vt:lpstr>
      <vt:lpstr>Salary Detail</vt:lpstr>
      <vt:lpstr>UH Employees</vt:lpstr>
      <vt:lpstr>Subcontracts</vt:lpstr>
      <vt:lpstr>Budget Summary</vt:lpstr>
      <vt:lpstr>Salary Allocation</vt:lpstr>
      <vt:lpstr>Personnel Summary</vt:lpstr>
      <vt:lpstr>'Personnel Summary'!\T</vt:lpstr>
      <vt:lpstr>Subcontracts!A_EIGHTSUM</vt:lpstr>
      <vt:lpstr>Subcontracts!A_FIVESUM</vt:lpstr>
      <vt:lpstr>Subcontracts!A_FOURSUM</vt:lpstr>
      <vt:lpstr>Subcontracts!A_NINESUM</vt:lpstr>
      <vt:lpstr>Subcontracts!A_SEVENSUM</vt:lpstr>
      <vt:lpstr>Subcontracts!A_SIXSIM</vt:lpstr>
      <vt:lpstr>Subcontracts!A_SIXSUM</vt:lpstr>
      <vt:lpstr>Subcontracts!A_TENSUM</vt:lpstr>
      <vt:lpstr>Subcontracts!A_THREESUM</vt:lpstr>
      <vt:lpstr>Subcontracts!A_TWOSUM</vt:lpstr>
      <vt:lpstr>Subcontracts!B_EIGHTSUM</vt:lpstr>
      <vt:lpstr>Subcontracts!B_FIVESUM</vt:lpstr>
      <vt:lpstr>Subcontracts!B_FOURSUM</vt:lpstr>
      <vt:lpstr>Subcontracts!B_NINESUM</vt:lpstr>
      <vt:lpstr>Subcontracts!B_SEVENSUM</vt:lpstr>
      <vt:lpstr>Subcontracts!B_SIXSUM</vt:lpstr>
      <vt:lpstr>Subcontracts!B_TENSUM</vt:lpstr>
      <vt:lpstr>Subcontracts!B_THREESUM</vt:lpstr>
      <vt:lpstr>Subcontracts!B_TWOSUM</vt:lpstr>
      <vt:lpstr>BUDGET</vt:lpstr>
      <vt:lpstr>Subcontracts!C_EIGHTSUM</vt:lpstr>
      <vt:lpstr>Subcontracts!C_FIVESUM</vt:lpstr>
      <vt:lpstr>Subcontracts!C_FOURSUM</vt:lpstr>
      <vt:lpstr>Subcontracts!C_NINESUM</vt:lpstr>
      <vt:lpstr>Subcontracts!C_SEVENSUM</vt:lpstr>
      <vt:lpstr>Subcontracts!C_SIXSUM</vt:lpstr>
      <vt:lpstr>Subcontracts!C_TENSUM</vt:lpstr>
      <vt:lpstr>Subcontracts!C_THREESUM</vt:lpstr>
      <vt:lpstr>Subcontracts!C_TWOSUM</vt:lpstr>
      <vt:lpstr>CFYE_ED</vt:lpstr>
      <vt:lpstr>CFYE_EDPCNT</vt:lpstr>
      <vt:lpstr>CURRENTFYE</vt:lpstr>
      <vt:lpstr>Subcontracts!D_EIGHTSUM</vt:lpstr>
      <vt:lpstr>Subcontracts!D_FIVESUM</vt:lpstr>
      <vt:lpstr>Subcontracts!D_FOURSUM</vt:lpstr>
      <vt:lpstr>Subcontracts!D_NINESUM</vt:lpstr>
      <vt:lpstr>Subcontracts!D_SEVENSUM</vt:lpstr>
      <vt:lpstr>Subcontracts!D_SIXSUM</vt:lpstr>
      <vt:lpstr>Subcontracts!D_TENSUM</vt:lpstr>
      <vt:lpstr>Subcontracts!D_THREESUM</vt:lpstr>
      <vt:lpstr>Subcontracts!D_TWOSUM</vt:lpstr>
      <vt:lpstr>DETAIL</vt:lpstr>
      <vt:lpstr>DETAIL1</vt:lpstr>
      <vt:lpstr>DETAIL2</vt:lpstr>
      <vt:lpstr>Subcontracts!E_EIGHTSUM</vt:lpstr>
      <vt:lpstr>Subcontracts!E_FIVESUM</vt:lpstr>
      <vt:lpstr>Subcontracts!E_FOURSUM</vt:lpstr>
      <vt:lpstr>Subcontracts!E_NINESUM</vt:lpstr>
      <vt:lpstr>Subcontracts!E_SEVENSUM</vt:lpstr>
      <vt:lpstr>Subcontracts!E_SIXSUM</vt:lpstr>
      <vt:lpstr>Subcontracts!E_TENSUM</vt:lpstr>
      <vt:lpstr>Subcontracts!E_THREESUM</vt:lpstr>
      <vt:lpstr>Subcontracts!E_TWOSUM</vt:lpstr>
      <vt:lpstr>EIGHTSUM</vt:lpstr>
      <vt:lpstr>ENDDATE</vt:lpstr>
      <vt:lpstr>ENDDAYS</vt:lpstr>
      <vt:lpstr>Subcontracts!F_EIGHTSUM</vt:lpstr>
      <vt:lpstr>Subcontracts!F_FIVESUM</vt:lpstr>
      <vt:lpstr>Subcontracts!F_FOURSUM</vt:lpstr>
      <vt:lpstr>Subcontracts!F_NINESUM</vt:lpstr>
      <vt:lpstr>Subcontracts!F_SEVENSUM</vt:lpstr>
      <vt:lpstr>Subcontracts!F_SIXSUM</vt:lpstr>
      <vt:lpstr>Subcontracts!F_TENSUM</vt:lpstr>
      <vt:lpstr>Subcontracts!F_THREESUM</vt:lpstr>
      <vt:lpstr>Subcontracts!F_TWOSUM</vt:lpstr>
      <vt:lpstr>FACTOR</vt:lpstr>
      <vt:lpstr>FIVESUM</vt:lpstr>
      <vt:lpstr>FOURSUM</vt:lpstr>
      <vt:lpstr>FringeIncrease</vt:lpstr>
      <vt:lpstr>fringes</vt:lpstr>
      <vt:lpstr>FringeTable</vt:lpstr>
      <vt:lpstr>Subcontracts!G_EIGHTSUM</vt:lpstr>
      <vt:lpstr>Subcontracts!G_FIVESUM</vt:lpstr>
      <vt:lpstr>Subcontracts!G_FOURSUM</vt:lpstr>
      <vt:lpstr>Subcontracts!G_NINESUM</vt:lpstr>
      <vt:lpstr>Subcontracts!G_SEVENSUM</vt:lpstr>
      <vt:lpstr>Subcontracts!G_SIXSUM</vt:lpstr>
      <vt:lpstr>Subcontracts!G_TENSUM</vt:lpstr>
      <vt:lpstr>Subcontracts!G_THREESUM</vt:lpstr>
      <vt:lpstr>Subcontracts!G_TWOSUM</vt:lpstr>
      <vt:lpstr>Subcontracts!H_EIGHTSUM</vt:lpstr>
      <vt:lpstr>Subcontracts!H_FIVESUM</vt:lpstr>
      <vt:lpstr>Subcontracts!H_FOURSUM</vt:lpstr>
      <vt:lpstr>Subcontracts!H_NINESUM</vt:lpstr>
      <vt:lpstr>Subcontracts!H_SEVENSUM</vt:lpstr>
      <vt:lpstr>Subcontracts!H_SIXSUM</vt:lpstr>
      <vt:lpstr>Subcontracts!H_TENSUM</vt:lpstr>
      <vt:lpstr>Subcontracts!H_THREESUM</vt:lpstr>
      <vt:lpstr>Subcontracts!H_TWOSUM</vt:lpstr>
      <vt:lpstr>Subcontracts!I_EIGHTSUM</vt:lpstr>
      <vt:lpstr>Subcontracts!I_FIVESUM</vt:lpstr>
      <vt:lpstr>Subcontracts!I_FOURSUM</vt:lpstr>
      <vt:lpstr>Subcontracts!I_NINESUM</vt:lpstr>
      <vt:lpstr>Subcontracts!I_SEVENSUM</vt:lpstr>
      <vt:lpstr>Subcontracts!I_SIXSUM</vt:lpstr>
      <vt:lpstr>Subcontracts!I_TENSUM</vt:lpstr>
      <vt:lpstr>Subcontracts!I_THREESUM</vt:lpstr>
      <vt:lpstr>Subcontracts!I_TWOSUM</vt:lpstr>
      <vt:lpstr>IDCPCNT</vt:lpstr>
      <vt:lpstr>INCREASE</vt:lpstr>
      <vt:lpstr>inflationpcnt</vt:lpstr>
      <vt:lpstr>Subcontracts!J_EIGHTSUM</vt:lpstr>
      <vt:lpstr>Subcontracts!J_FIVESUM</vt:lpstr>
      <vt:lpstr>Subcontracts!J_FOURSUM</vt:lpstr>
      <vt:lpstr>Subcontracts!J_NINESUM</vt:lpstr>
      <vt:lpstr>Subcontracts!J_SEVENSUM</vt:lpstr>
      <vt:lpstr>Subcontracts!J_SIXSUM</vt:lpstr>
      <vt:lpstr>Subcontracts!J_TENSUM</vt:lpstr>
      <vt:lpstr>Subcontracts!J_THREESUM</vt:lpstr>
      <vt:lpstr>Subcontracts!J_TWOSUM</vt:lpstr>
      <vt:lpstr>Subcontracts!K_EIGHTSUM</vt:lpstr>
      <vt:lpstr>Subcontracts!K_FIVESUM</vt:lpstr>
      <vt:lpstr>Subcontracts!K_FOURSUM</vt:lpstr>
      <vt:lpstr>Subcontracts!K_NINESUM</vt:lpstr>
      <vt:lpstr>Subcontracts!K_SEVENSUM</vt:lpstr>
      <vt:lpstr>Subcontracts!K_SIXSUM</vt:lpstr>
      <vt:lpstr>Subcontracts!K_TENSUM</vt:lpstr>
      <vt:lpstr>Subcontracts!K_THREESUM</vt:lpstr>
      <vt:lpstr>Subcontracts!K_TWOSUM</vt:lpstr>
      <vt:lpstr>Subcontracts!L_EIGHTSUM</vt:lpstr>
      <vt:lpstr>Subcontracts!L_FIVESUM</vt:lpstr>
      <vt:lpstr>Subcontracts!L_FOURSUM</vt:lpstr>
      <vt:lpstr>Subcontracts!L_NINESUM</vt:lpstr>
      <vt:lpstr>Subcontracts!L_SEVENSUM</vt:lpstr>
      <vt:lpstr>Subcontracts!L_SIXSUM</vt:lpstr>
      <vt:lpstr>Subcontracts!L_TENSUM</vt:lpstr>
      <vt:lpstr>Subcontracts!L_THREESUM</vt:lpstr>
      <vt:lpstr>Subcontracts!L_TWOSUM</vt:lpstr>
      <vt:lpstr>Subcontracts!M_EIGHTSUM</vt:lpstr>
      <vt:lpstr>Subcontracts!M_FIVESUM</vt:lpstr>
      <vt:lpstr>Subcontracts!M_FOURSUM</vt:lpstr>
      <vt:lpstr>Subcontracts!M_NINESUM</vt:lpstr>
      <vt:lpstr>Subcontracts!M_SEVENSUM</vt:lpstr>
      <vt:lpstr>Subcontracts!M_SIXSUM</vt:lpstr>
      <vt:lpstr>Subcontracts!M_TENSUM</vt:lpstr>
      <vt:lpstr>Subcontracts!M_THREESUM</vt:lpstr>
      <vt:lpstr>Subcontracts!M_TWOSUM</vt:lpstr>
      <vt:lpstr>MAXBASESAL1</vt:lpstr>
      <vt:lpstr>MAXSAL</vt:lpstr>
      <vt:lpstr>Subcontracts!N_EIGHTSUM</vt:lpstr>
      <vt:lpstr>Subcontracts!N_FIVESUM</vt:lpstr>
      <vt:lpstr>Subcontracts!N_FOURSUM</vt:lpstr>
      <vt:lpstr>Subcontracts!N_NINESUM</vt:lpstr>
      <vt:lpstr>Subcontracts!N_SEVENSUM</vt:lpstr>
      <vt:lpstr>Subcontracts!N_SIXSUM</vt:lpstr>
      <vt:lpstr>Subcontracts!N_TENSUM</vt:lpstr>
      <vt:lpstr>Subcontracts!N_THREESUM</vt:lpstr>
      <vt:lpstr>Subcontracts!N_TWOSUM</vt:lpstr>
      <vt:lpstr>NINESUM</vt:lpstr>
      <vt:lpstr>NUMMONTHS</vt:lpstr>
      <vt:lpstr>Subcontracts!O_EIGHTSUM</vt:lpstr>
      <vt:lpstr>Subcontracts!O_FIVESUM</vt:lpstr>
      <vt:lpstr>Subcontracts!O_FOURSUM</vt:lpstr>
      <vt:lpstr>Subcontracts!O_NINESUM</vt:lpstr>
      <vt:lpstr>Subcontracts!O_SEVENSUM</vt:lpstr>
      <vt:lpstr>Subcontracts!O_SIXSUM</vt:lpstr>
      <vt:lpstr>Subcontracts!O_TENSUM</vt:lpstr>
      <vt:lpstr>Subcontracts!O_THREESUM</vt:lpstr>
      <vt:lpstr>Subcontracts!O_TWOSUM</vt:lpstr>
      <vt:lpstr>PERIOD1</vt:lpstr>
      <vt:lpstr>PRINT</vt:lpstr>
      <vt:lpstr>'Budget Summary'!Print_Area</vt:lpstr>
      <vt:lpstr>Message!Print_Area</vt:lpstr>
      <vt:lpstr>'Personnel Summary'!Print_Area</vt:lpstr>
      <vt:lpstr>'Salary Allocation'!Print_Area</vt:lpstr>
      <vt:lpstr>'Salary Detail'!Print_Area</vt:lpstr>
      <vt:lpstr>Subcontracts!Print_Area</vt:lpstr>
      <vt:lpstr>'UH Employees'!Print_Area</vt:lpstr>
      <vt:lpstr>ProjectType</vt:lpstr>
      <vt:lpstr>SALCAPAPPLIES</vt:lpstr>
      <vt:lpstr>SEVENSUM</vt:lpstr>
      <vt:lpstr>SIXSUM</vt:lpstr>
      <vt:lpstr>STARTDATE</vt:lpstr>
      <vt:lpstr>Subcontracts!subcontracts</vt:lpstr>
      <vt:lpstr>Subcontracts!SUBLIMIT</vt:lpstr>
      <vt:lpstr>'Personnel Summary'!SUMMARY</vt:lpstr>
      <vt:lpstr>TENSUM</vt:lpstr>
      <vt:lpstr>THREESUM</vt:lpstr>
      <vt:lpstr>totalyrs</vt:lpstr>
      <vt:lpstr>TWOSUM</vt:lpstr>
      <vt:lpstr>'Personnel Summary'!TYPES</vt:lpstr>
      <vt:lpstr>Year1Weight</vt:lpstr>
      <vt:lpstr>Year2Weight</vt:lpstr>
      <vt:lpstr>Year3Weight</vt:lpstr>
      <vt:lpstr>yr10percent</vt:lpstr>
      <vt:lpstr>yr1percent</vt:lpstr>
      <vt:lpstr>yr2percent</vt:lpstr>
      <vt:lpstr>yr3percent</vt:lpstr>
      <vt:lpstr>yr4percent</vt:lpstr>
      <vt:lpstr>yr5percent</vt:lpstr>
      <vt:lpstr>yr6percent</vt:lpstr>
      <vt:lpstr>yr7percent</vt:lpstr>
      <vt:lpstr>yr8percent</vt:lpstr>
      <vt:lpstr>yr9percent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</dc:creator>
  <cp:lastModifiedBy>Administrator</cp:lastModifiedBy>
  <cp:lastPrinted>2017-02-21T19:04:25Z</cp:lastPrinted>
  <dcterms:created xsi:type="dcterms:W3CDTF">1998-03-23T23:40:46Z</dcterms:created>
  <dcterms:modified xsi:type="dcterms:W3CDTF">2023-03-14T18:48:37Z</dcterms:modified>
</cp:coreProperties>
</file>